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autoCompressPictures="0"/>
  <bookViews>
    <workbookView xWindow="0" yWindow="-440" windowWidth="28800" windowHeight="18000"/>
  </bookViews>
  <sheets>
    <sheet name="Budgeted" sheetId="1" r:id="rId1"/>
    <sheet name="Income &amp; Holding" sheetId="2" r:id="rId2"/>
    <sheet name="Staff" sheetId="3" r:id="rId3"/>
    <sheet name="Financial Statement" sheetId="4" r:id="rId4"/>
  </sheets>
  <externalReferences>
    <externalReference r:id="rId5"/>
  </externalReferenc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4" l="1"/>
  <c r="B7" i="4"/>
  <c r="M25" i="3"/>
  <c r="M23" i="3"/>
  <c r="M22" i="3"/>
  <c r="M24" i="3"/>
  <c r="M3" i="1"/>
  <c r="M4" i="1"/>
  <c r="M25" i="1"/>
  <c r="L11" i="2"/>
  <c r="K5" i="2"/>
  <c r="L5" i="2"/>
  <c r="P5" i="2"/>
  <c r="L6" i="2"/>
  <c r="M18" i="1"/>
  <c r="K25" i="1"/>
  <c r="M20" i="1"/>
  <c r="K11" i="2"/>
  <c r="L3" i="1"/>
  <c r="L25" i="1"/>
  <c r="K12" i="2"/>
  <c r="L24" i="1"/>
  <c r="K24" i="1"/>
  <c r="J8" i="2"/>
  <c r="K8" i="2"/>
  <c r="C6" i="2"/>
  <c r="H11" i="2"/>
  <c r="K3" i="1"/>
  <c r="J12" i="2"/>
  <c r="K17" i="1"/>
  <c r="J17" i="1"/>
  <c r="I24" i="1"/>
  <c r="I21" i="2"/>
  <c r="N21" i="2"/>
  <c r="R21" i="2"/>
  <c r="H26" i="2"/>
  <c r="N26" i="2"/>
  <c r="F13" i="2"/>
  <c r="E14" i="2"/>
  <c r="H12" i="2"/>
  <c r="F14" i="2"/>
  <c r="N28" i="2"/>
  <c r="E14" i="4"/>
  <c r="E13" i="4"/>
  <c r="E12" i="4"/>
  <c r="E11" i="4"/>
  <c r="E10" i="4"/>
  <c r="E9" i="4"/>
  <c r="E8" i="4"/>
  <c r="E7" i="4"/>
  <c r="Q15" i="2"/>
  <c r="P14" i="2"/>
  <c r="B39" i="1"/>
  <c r="R14" i="2"/>
  <c r="G10" i="4"/>
  <c r="F10" i="4"/>
  <c r="N27" i="2"/>
  <c r="R27" i="2"/>
  <c r="B22" i="4"/>
  <c r="R26" i="2"/>
  <c r="B21" i="4"/>
  <c r="N18" i="2"/>
  <c r="B40" i="1"/>
  <c r="G29" i="4"/>
  <c r="N13" i="1"/>
  <c r="N3" i="1"/>
  <c r="O3" i="1"/>
  <c r="B29" i="2"/>
  <c r="C29" i="2"/>
  <c r="D29" i="2"/>
  <c r="E29" i="2"/>
  <c r="F29" i="2"/>
  <c r="G29" i="2"/>
  <c r="H29" i="2"/>
  <c r="I29" i="2"/>
  <c r="J29" i="2"/>
  <c r="K29" i="2"/>
  <c r="L29" i="2"/>
  <c r="M29" i="2"/>
  <c r="N19" i="2"/>
  <c r="R19" i="2"/>
  <c r="B15" i="4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B15" i="2"/>
  <c r="B32" i="4"/>
  <c r="B36" i="4"/>
  <c r="B10" i="4"/>
  <c r="B34" i="4"/>
  <c r="D28" i="3"/>
  <c r="D39" i="1"/>
  <c r="D40" i="1"/>
  <c r="E28" i="3"/>
  <c r="E39" i="1"/>
  <c r="E40" i="1"/>
  <c r="F28" i="3"/>
  <c r="F39" i="1"/>
  <c r="F40" i="1"/>
  <c r="G28" i="3"/>
  <c r="G39" i="1"/>
  <c r="G40" i="1"/>
  <c r="H28" i="3"/>
  <c r="H39" i="1"/>
  <c r="H40" i="1"/>
  <c r="I28" i="3"/>
  <c r="I39" i="1"/>
  <c r="I40" i="1"/>
  <c r="J28" i="3"/>
  <c r="J39" i="1"/>
  <c r="J40" i="1"/>
  <c r="K28" i="3"/>
  <c r="K39" i="1"/>
  <c r="K40" i="1"/>
  <c r="L28" i="3"/>
  <c r="L39" i="1"/>
  <c r="L40" i="1"/>
  <c r="M28" i="3"/>
  <c r="M39" i="1"/>
  <c r="M40" i="1"/>
  <c r="C28" i="3"/>
  <c r="C39" i="1"/>
  <c r="N39" i="1"/>
  <c r="O39" i="1"/>
  <c r="C40" i="1"/>
  <c r="E15" i="4"/>
  <c r="E16" i="4"/>
  <c r="E17" i="4"/>
  <c r="E18" i="4"/>
  <c r="E19" i="4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" i="3"/>
  <c r="B28" i="3"/>
  <c r="O29" i="2"/>
  <c r="P29" i="2"/>
  <c r="Q29" i="2"/>
  <c r="N20" i="2"/>
  <c r="R20" i="2"/>
  <c r="B16" i="4"/>
  <c r="B17" i="4"/>
  <c r="N22" i="2"/>
  <c r="R22" i="2"/>
  <c r="B18" i="4"/>
  <c r="N23" i="2"/>
  <c r="R23" i="2"/>
  <c r="B19" i="4"/>
  <c r="N24" i="2"/>
  <c r="R24" i="2"/>
  <c r="B20" i="4"/>
  <c r="N25" i="2"/>
  <c r="R28" i="2"/>
  <c r="B24" i="4"/>
  <c r="R18" i="2"/>
  <c r="B14" i="4"/>
  <c r="P3" i="2"/>
  <c r="R3" i="2"/>
  <c r="G8" i="4"/>
  <c r="P4" i="2"/>
  <c r="F9" i="4"/>
  <c r="F11" i="4"/>
  <c r="P6" i="2"/>
  <c r="F12" i="4"/>
  <c r="P7" i="2"/>
  <c r="F13" i="4"/>
  <c r="P8" i="2"/>
  <c r="P9" i="2"/>
  <c r="F15" i="4"/>
  <c r="P10" i="2"/>
  <c r="R10" i="2"/>
  <c r="G16" i="4"/>
  <c r="P11" i="2"/>
  <c r="F17" i="4"/>
  <c r="P12" i="2"/>
  <c r="R12" i="2"/>
  <c r="G18" i="4"/>
  <c r="P13" i="2"/>
  <c r="R13" i="2"/>
  <c r="G19" i="4"/>
  <c r="P2" i="2"/>
  <c r="F7" i="4"/>
  <c r="N38" i="1"/>
  <c r="O38" i="1"/>
  <c r="N34" i="1"/>
  <c r="O34" i="1"/>
  <c r="N4" i="1"/>
  <c r="O4" i="1"/>
  <c r="N5" i="1"/>
  <c r="O5" i="1"/>
  <c r="N20" i="1"/>
  <c r="O20" i="1"/>
  <c r="N35" i="1"/>
  <c r="O35" i="1"/>
  <c r="N37" i="1"/>
  <c r="O37" i="1"/>
  <c r="N21" i="1"/>
  <c r="O21" i="1"/>
  <c r="N33" i="1"/>
  <c r="O33" i="1"/>
  <c r="N36" i="1"/>
  <c r="O36" i="1"/>
  <c r="N18" i="1"/>
  <c r="O18" i="1"/>
  <c r="O13" i="1"/>
  <c r="N6" i="1"/>
  <c r="O6" i="1"/>
  <c r="N15" i="1"/>
  <c r="O15" i="1"/>
  <c r="N19" i="1"/>
  <c r="O19" i="1"/>
  <c r="N22" i="1"/>
  <c r="O22" i="1"/>
  <c r="N23" i="1"/>
  <c r="O23" i="1"/>
  <c r="N10" i="1"/>
  <c r="O10" i="1"/>
  <c r="N8" i="1"/>
  <c r="O8" i="1"/>
  <c r="N27" i="1"/>
  <c r="O27" i="1"/>
  <c r="N16" i="1"/>
  <c r="O16" i="1"/>
  <c r="N26" i="1"/>
  <c r="O26" i="1"/>
  <c r="N25" i="1"/>
  <c r="O25" i="1"/>
  <c r="N7" i="1"/>
  <c r="O7" i="1"/>
  <c r="N14" i="1"/>
  <c r="O14" i="1"/>
  <c r="N24" i="1"/>
  <c r="O24" i="1"/>
  <c r="N17" i="1"/>
  <c r="O17" i="1"/>
  <c r="N11" i="1"/>
  <c r="O11" i="1"/>
  <c r="N29" i="1"/>
  <c r="O29" i="1"/>
  <c r="N30" i="1"/>
  <c r="O30" i="1"/>
  <c r="N9" i="1"/>
  <c r="O9" i="1"/>
  <c r="N12" i="1"/>
  <c r="O12" i="1"/>
  <c r="N28" i="1"/>
  <c r="O28" i="1"/>
  <c r="N31" i="1"/>
  <c r="O31" i="1"/>
  <c r="N32" i="1"/>
  <c r="O32" i="1"/>
  <c r="N28" i="3"/>
  <c r="E20" i="4"/>
  <c r="G27" i="4"/>
  <c r="G28" i="4"/>
  <c r="G30" i="4"/>
  <c r="P15" i="2"/>
  <c r="F20" i="4"/>
  <c r="O40" i="1"/>
  <c r="N40" i="1"/>
  <c r="R25" i="2"/>
  <c r="N29" i="2"/>
  <c r="R11" i="2"/>
  <c r="G17" i="4"/>
  <c r="R2" i="2"/>
  <c r="F19" i="4"/>
  <c r="F16" i="4"/>
  <c r="R7" i="2"/>
  <c r="G13" i="4"/>
  <c r="F18" i="4"/>
  <c r="F8" i="4"/>
  <c r="R4" i="2"/>
  <c r="G9" i="4"/>
  <c r="R6" i="2"/>
  <c r="R5" i="2"/>
  <c r="G11" i="4"/>
  <c r="R9" i="2"/>
  <c r="G15" i="4"/>
  <c r="R8" i="2"/>
  <c r="G14" i="4"/>
  <c r="F14" i="4"/>
  <c r="G12" i="4"/>
  <c r="R15" i="2"/>
  <c r="G20" i="4"/>
  <c r="R29" i="2"/>
  <c r="B23" i="4"/>
  <c r="B25" i="4"/>
  <c r="B35" i="4"/>
  <c r="B37" i="4"/>
  <c r="G7" i="4"/>
</calcChain>
</file>

<file path=xl/sharedStrings.xml><?xml version="1.0" encoding="utf-8"?>
<sst xmlns="http://schemas.openxmlformats.org/spreadsheetml/2006/main" count="210" uniqueCount="142">
  <si>
    <t>Account</t>
  </si>
  <si>
    <t>6th Grade Camp-Joe Dumars-Picnic</t>
  </si>
  <si>
    <t>6th Grade Graduation</t>
  </si>
  <si>
    <t>Math Olympiad</t>
  </si>
  <si>
    <t>Science Olympiad</t>
  </si>
  <si>
    <t>Social Studies Olympiad</t>
  </si>
  <si>
    <t>Recycling Club</t>
  </si>
  <si>
    <t>Student Council</t>
  </si>
  <si>
    <t>Jr. Honor Society</t>
  </si>
  <si>
    <t>Destination Imagination</t>
  </si>
  <si>
    <t>Donuts with Dad</t>
  </si>
  <si>
    <t>Staff Appreciation</t>
  </si>
  <si>
    <t>Media Center Book Replenishment</t>
  </si>
  <si>
    <t>Muffins with Mom</t>
  </si>
  <si>
    <t>Beautify Browning</t>
  </si>
  <si>
    <t>Playground Supplies</t>
  </si>
  <si>
    <t>Fun Run/Field Day Popsicles</t>
  </si>
  <si>
    <t>Donations and Bereavement</t>
  </si>
  <si>
    <t>Child Care/Activities PTA Meetings</t>
  </si>
  <si>
    <t>Bonding Insurance</t>
  </si>
  <si>
    <t>CPA Fees</t>
  </si>
  <si>
    <t>Postage</t>
  </si>
  <si>
    <t>PTA Supplies</t>
  </si>
  <si>
    <t>Staff List</t>
  </si>
  <si>
    <t>TOTALS</t>
  </si>
  <si>
    <t>Budget</t>
  </si>
  <si>
    <t>6th Grade Memory Book</t>
  </si>
  <si>
    <t>Difference</t>
  </si>
  <si>
    <t>Remaining</t>
  </si>
  <si>
    <t>Spent</t>
  </si>
  <si>
    <t>Entertainment Books</t>
  </si>
  <si>
    <t>Balloon Launch</t>
  </si>
  <si>
    <t>Pumpkin Patch</t>
  </si>
  <si>
    <t>Fun Fair</t>
  </si>
  <si>
    <t>CJ Barrymores</t>
  </si>
  <si>
    <t>Restaurant Nights</t>
  </si>
  <si>
    <t>Box Tops</t>
  </si>
  <si>
    <t>Kroger</t>
  </si>
  <si>
    <t>Target</t>
  </si>
  <si>
    <t>Misc</t>
  </si>
  <si>
    <t>Market Day</t>
  </si>
  <si>
    <t>Santa Shop</t>
  </si>
  <si>
    <t>Donations</t>
  </si>
  <si>
    <t>Net Income</t>
  </si>
  <si>
    <t>Expected Income</t>
  </si>
  <si>
    <t>Subtotal</t>
  </si>
  <si>
    <t>Holding Accounts</t>
  </si>
  <si>
    <t>Income Accounts</t>
  </si>
  <si>
    <t>Art (Square 1)</t>
  </si>
  <si>
    <t>Gym (Fun Run)</t>
  </si>
  <si>
    <t>Kindness Compassion</t>
  </si>
  <si>
    <t>Media Center (Reading Night)</t>
  </si>
  <si>
    <t>Play Structure TBD (Golf)</t>
  </si>
  <si>
    <t>Special Projects</t>
  </si>
  <si>
    <t>Bemis Jr. High</t>
  </si>
  <si>
    <t>YTD Income</t>
  </si>
  <si>
    <t>Expenses</t>
  </si>
  <si>
    <t>Balance</t>
  </si>
  <si>
    <t>Total</t>
  </si>
  <si>
    <t>Staff</t>
  </si>
  <si>
    <t>Beginning Amt.</t>
  </si>
  <si>
    <t>Checking Account Activity</t>
  </si>
  <si>
    <t>Beginning Balance</t>
  </si>
  <si>
    <t>Checks Paid</t>
  </si>
  <si>
    <t>Deposits</t>
  </si>
  <si>
    <t>Service Charge</t>
  </si>
  <si>
    <t>Ending Balance</t>
  </si>
  <si>
    <t>Special Holding Funds</t>
  </si>
  <si>
    <t>Petty Cash</t>
  </si>
  <si>
    <t>Checking Ending Balance</t>
  </si>
  <si>
    <t>Less Holding Funds</t>
  </si>
  <si>
    <t>Plus Petty Cash</t>
  </si>
  <si>
    <t>Forecasted Cash Available</t>
  </si>
  <si>
    <t>Available to Budget</t>
  </si>
  <si>
    <t>Actual</t>
  </si>
  <si>
    <t>Holding Funds Balance</t>
  </si>
  <si>
    <t>Petty Cash Balance</t>
  </si>
  <si>
    <t xml:space="preserve">PTA Cash Balance  </t>
  </si>
  <si>
    <t>Budgeted Accounts 2013-14</t>
  </si>
  <si>
    <t>2012-2013 BBF</t>
  </si>
  <si>
    <t>Aug 13</t>
  </si>
  <si>
    <t>Sept 13</t>
  </si>
  <si>
    <t>Oct 13</t>
  </si>
  <si>
    <t>Nov 13</t>
  </si>
  <si>
    <t>Dec 13</t>
  </si>
  <si>
    <t>Jan 14</t>
  </si>
  <si>
    <t>Feb 14</t>
  </si>
  <si>
    <t>Mar 14</t>
  </si>
  <si>
    <t>April 14</t>
  </si>
  <si>
    <t>May 14</t>
  </si>
  <si>
    <t>June 14</t>
  </si>
  <si>
    <t>Kdg (Tressa Bartalino)</t>
  </si>
  <si>
    <t>Kdg (Kathryn Skerske)</t>
  </si>
  <si>
    <t>1st (Kris Misch)</t>
  </si>
  <si>
    <t>1st (Carole Sierzenga)</t>
  </si>
  <si>
    <t>2nd (Marcia Jahn)</t>
  </si>
  <si>
    <t>2nd (Laura Schepper)</t>
  </si>
  <si>
    <t>2nd (Dayna Thompson)</t>
  </si>
  <si>
    <t>3rd (Margaret Johnston)</t>
  </si>
  <si>
    <t>3rd (Sheri Aiello)</t>
  </si>
  <si>
    <t>4th (Annette Freidrich)</t>
  </si>
  <si>
    <t>4th (Connie Pacioni)</t>
  </si>
  <si>
    <t>4th (Holly Palmer)</t>
  </si>
  <si>
    <t>5th (Sara Tocco)</t>
  </si>
  <si>
    <t>5th (Danielle Bernier)</t>
  </si>
  <si>
    <t>6th (Kim Andrews)</t>
  </si>
  <si>
    <t>6th (Joel Scott)</t>
  </si>
  <si>
    <t>6th (Jennifer Hesske)</t>
  </si>
  <si>
    <t>ECSE (Angela Poppe)</t>
  </si>
  <si>
    <t>ECSE (Beth LaCroix)</t>
  </si>
  <si>
    <t>Gym (Amy Irvine)</t>
  </si>
  <si>
    <t>Learning Center (Beth Gauthier)</t>
  </si>
  <si>
    <t>ISM (Talan)</t>
  </si>
  <si>
    <t>Media Center (Shawn Furtah)</t>
  </si>
  <si>
    <t>Music (Julie Bogoski)</t>
  </si>
  <si>
    <t>Back To School Picnic</t>
  </si>
  <si>
    <t xml:space="preserve">Recycling Club </t>
  </si>
  <si>
    <t>Service Squad</t>
  </si>
  <si>
    <t>Safety Squad</t>
  </si>
  <si>
    <t>Jr Honor Society</t>
  </si>
  <si>
    <t>Destiniation Imagination</t>
  </si>
  <si>
    <t>Adventures In Art</t>
  </si>
  <si>
    <t>Readers Are Leaders Nights/Initiatives</t>
  </si>
  <si>
    <t>Off Site Learning/Field Trips (K thru 5)</t>
  </si>
  <si>
    <t>On Site Assemblies</t>
  </si>
  <si>
    <t>Bear Mascot Costume Maint</t>
  </si>
  <si>
    <t xml:space="preserve">Music Express Periodical 1 Yr Subscription </t>
  </si>
  <si>
    <t>PTA Membership Dues ($6x25)</t>
  </si>
  <si>
    <t>PTA Child Care Tool Box</t>
  </si>
  <si>
    <t>PTA Unit Dues (Mich PTSA)</t>
  </si>
  <si>
    <t>Alumni Scholarship</t>
  </si>
  <si>
    <t>2013-2014</t>
  </si>
  <si>
    <t>Spirit Wear</t>
  </si>
  <si>
    <t>WB BROWNING ELEMENTARY PTA</t>
  </si>
  <si>
    <t>FINANCIAL STATEMENT</t>
  </si>
  <si>
    <t>2012-2013 Cash Brought Forward</t>
  </si>
  <si>
    <t>2013-2014 Forecasted Income</t>
  </si>
  <si>
    <t>Halloween</t>
  </si>
  <si>
    <t>Less 2013-2014 Budgeted Accounts</t>
  </si>
  <si>
    <t xml:space="preserve">Restaurant Nights </t>
  </si>
  <si>
    <t>5th (Breanne Werner)</t>
  </si>
  <si>
    <t>Speech (Bauer)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</si>
</sst>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6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0" xfId="0" applyFont="1"/>
    <xf numFmtId="49" fontId="1" fillId="0" borderId="2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164" fontId="1" fillId="0" borderId="1" xfId="0" applyNumberFormat="1" applyFont="1" applyBorder="1"/>
    <xf numFmtId="0" fontId="1" fillId="0" borderId="1" xfId="0" applyFont="1" applyBorder="1"/>
    <xf numFmtId="49" fontId="1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Border="1"/>
    <xf numFmtId="0" fontId="1" fillId="0" borderId="0" xfId="0" applyFont="1" applyBorder="1"/>
    <xf numFmtId="0" fontId="0" fillId="0" borderId="0" xfId="0" applyFill="1" applyBorder="1"/>
    <xf numFmtId="0" fontId="1" fillId="0" borderId="0" xfId="0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0" fillId="0" borderId="0" xfId="0" applyNumberFormat="1" applyBorder="1"/>
    <xf numFmtId="164" fontId="0" fillId="0" borderId="4" xfId="0" applyNumberFormat="1" applyBorder="1"/>
    <xf numFmtId="0" fontId="0" fillId="0" borderId="4" xfId="0" applyBorder="1"/>
    <xf numFmtId="0" fontId="0" fillId="0" borderId="4" xfId="0" applyFill="1" applyBorder="1"/>
    <xf numFmtId="0" fontId="1" fillId="0" borderId="4" xfId="0" applyFont="1" applyFill="1" applyBorder="1"/>
    <xf numFmtId="164" fontId="0" fillId="0" borderId="4" xfId="0" applyNumberFormat="1" applyFont="1" applyBorder="1"/>
    <xf numFmtId="164" fontId="0" fillId="0" borderId="2" xfId="0" applyNumberFormat="1" applyFill="1" applyBorder="1"/>
    <xf numFmtId="0" fontId="3" fillId="0" borderId="1" xfId="0" applyFont="1" applyFill="1" applyBorder="1"/>
    <xf numFmtId="44" fontId="3" fillId="0" borderId="1" xfId="1" applyFont="1" applyBorder="1"/>
    <xf numFmtId="0" fontId="3" fillId="0" borderId="1" xfId="0" applyFont="1" applyBorder="1"/>
    <xf numFmtId="44" fontId="0" fillId="0" borderId="0" xfId="1" applyFont="1" applyBorder="1" applyAlignment="1">
      <alignment horizontal="right"/>
    </xf>
    <xf numFmtId="44" fontId="0" fillId="0" borderId="5" xfId="1" applyFont="1" applyBorder="1" applyAlignment="1">
      <alignment horizontal="right"/>
    </xf>
    <xf numFmtId="164" fontId="0" fillId="0" borderId="1" xfId="0" applyNumberFormat="1" applyFill="1" applyBorder="1"/>
    <xf numFmtId="164" fontId="0" fillId="0" borderId="1" xfId="0" applyNumberFormat="1" applyFont="1" applyFill="1" applyBorder="1"/>
    <xf numFmtId="44" fontId="4" fillId="0" borderId="0" xfId="0" applyNumberFormat="1" applyFont="1" applyAlignment="1">
      <alignment horizontal="center"/>
    </xf>
    <xf numFmtId="44" fontId="0" fillId="0" borderId="0" xfId="0" applyNumberForma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imberlyrichter/Library/Containers/com.apple.mail/Data/Library/Mail%20Downloads/1437BCAA-8E34-4395-8EA0-A0FB31A1DD10/2013%202014%20PTA%20Draft%20Budg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tatement"/>
      <sheetName val="Income Accounts"/>
      <sheetName val="Budgeted Accounts"/>
      <sheetName val="Staff List"/>
    </sheetNames>
    <sheetDataSet>
      <sheetData sheetId="0"/>
      <sheetData sheetId="1"/>
      <sheetData sheetId="2"/>
      <sheetData sheetId="3">
        <row r="29">
          <cell r="B29">
            <v>4200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40"/>
  <sheetViews>
    <sheetView tabSelected="1" topLeftCell="A2" workbookViewId="0">
      <pane ySplit="900" activePane="bottomLeft"/>
      <selection activeCell="H2" sqref="H1:H1048576"/>
      <selection pane="bottomLeft"/>
    </sheetView>
  </sheetViews>
  <sheetFormatPr baseColWidth="10" defaultColWidth="8.83203125" defaultRowHeight="14" x14ac:dyDescent="0"/>
  <cols>
    <col min="1" max="1" width="35.5" bestFit="1" customWidth="1"/>
    <col min="2" max="2" width="10.1640625" customWidth="1"/>
    <col min="3" max="5" width="9.83203125" customWidth="1"/>
    <col min="6" max="6" width="10" customWidth="1"/>
    <col min="7" max="7" width="9.83203125" customWidth="1"/>
    <col min="8" max="8" width="9.1640625" customWidth="1"/>
    <col min="9" max="9" width="9.83203125" customWidth="1"/>
    <col min="10" max="12" width="9.83203125" bestFit="1" customWidth="1"/>
    <col min="13" max="14" width="10.83203125" bestFit="1" customWidth="1"/>
    <col min="15" max="15" width="10.5" bestFit="1" customWidth="1"/>
  </cols>
  <sheetData>
    <row r="1" spans="1:16">
      <c r="A1" t="s">
        <v>78</v>
      </c>
    </row>
    <row r="2" spans="1:16">
      <c r="A2" s="4" t="s">
        <v>0</v>
      </c>
      <c r="B2" s="4" t="s">
        <v>25</v>
      </c>
      <c r="C2" s="9" t="s">
        <v>80</v>
      </c>
      <c r="D2" s="9" t="s">
        <v>81</v>
      </c>
      <c r="E2" s="9" t="s">
        <v>82</v>
      </c>
      <c r="F2" s="9" t="s">
        <v>83</v>
      </c>
      <c r="G2" s="9" t="s">
        <v>84</v>
      </c>
      <c r="H2" s="9" t="s">
        <v>85</v>
      </c>
      <c r="I2" s="9" t="s">
        <v>86</v>
      </c>
      <c r="J2" s="9" t="s">
        <v>87</v>
      </c>
      <c r="K2" s="9" t="s">
        <v>88</v>
      </c>
      <c r="L2" s="9" t="s">
        <v>89</v>
      </c>
      <c r="M2" s="9" t="s">
        <v>90</v>
      </c>
      <c r="N2" s="5" t="s">
        <v>29</v>
      </c>
      <c r="O2" s="5" t="s">
        <v>28</v>
      </c>
    </row>
    <row r="3" spans="1:16">
      <c r="A3" s="2" t="s">
        <v>1</v>
      </c>
      <c r="B3" s="3">
        <v>4000</v>
      </c>
      <c r="C3" s="3"/>
      <c r="D3" s="3"/>
      <c r="E3" s="3"/>
      <c r="F3" s="3"/>
      <c r="G3" s="3"/>
      <c r="H3" s="3"/>
      <c r="I3" s="3"/>
      <c r="J3" s="3">
        <v>-250</v>
      </c>
      <c r="K3" s="3">
        <f>684-250</f>
        <v>434</v>
      </c>
      <c r="L3" s="3">
        <f>12-1173.5-1862-54.95</f>
        <v>-3078.45</v>
      </c>
      <c r="M3" s="3">
        <f>-165.49-310.03-757.83</f>
        <v>-1233.3499999999999</v>
      </c>
      <c r="N3" s="32">
        <f>SUM(C3:M3)</f>
        <v>-4127.7999999999993</v>
      </c>
      <c r="O3" s="3">
        <f>B3+N3</f>
        <v>-127.79999999999927</v>
      </c>
      <c r="P3" s="1"/>
    </row>
    <row r="4" spans="1:16">
      <c r="A4" s="2" t="s">
        <v>2</v>
      </c>
      <c r="B4" s="3">
        <v>500</v>
      </c>
      <c r="C4" s="3"/>
      <c r="D4" s="3"/>
      <c r="E4" s="3"/>
      <c r="F4" s="3"/>
      <c r="G4" s="3"/>
      <c r="H4" s="3"/>
      <c r="I4" s="3"/>
      <c r="J4" s="3"/>
      <c r="K4" s="3"/>
      <c r="L4" s="3"/>
      <c r="M4" s="3">
        <f>-40.27-200</f>
        <v>-240.27</v>
      </c>
      <c r="N4" s="32">
        <f t="shared" ref="N4:N38" si="0">SUM(C4:M4)</f>
        <v>-240.27</v>
      </c>
      <c r="O4" s="3">
        <f>B4+N4</f>
        <v>259.73</v>
      </c>
      <c r="P4" s="1"/>
    </row>
    <row r="5" spans="1:16">
      <c r="A5" s="2" t="s">
        <v>26</v>
      </c>
      <c r="B5" s="3">
        <v>1250</v>
      </c>
      <c r="C5" s="3"/>
      <c r="D5" s="3"/>
      <c r="E5" s="3"/>
      <c r="F5" s="3"/>
      <c r="G5" s="3">
        <v>-100</v>
      </c>
      <c r="H5" s="3"/>
      <c r="I5" s="3"/>
      <c r="J5" s="3"/>
      <c r="K5" s="3">
        <v>-1255.75</v>
      </c>
      <c r="L5" s="3">
        <v>205</v>
      </c>
      <c r="M5" s="3"/>
      <c r="N5" s="32">
        <f t="shared" si="0"/>
        <v>-1150.75</v>
      </c>
      <c r="O5" s="3">
        <f t="shared" ref="O5:O39" si="1">B5+N5</f>
        <v>99.25</v>
      </c>
      <c r="P5" s="1"/>
    </row>
    <row r="6" spans="1:16">
      <c r="A6" s="2" t="s">
        <v>115</v>
      </c>
      <c r="B6" s="3">
        <v>500</v>
      </c>
      <c r="C6" s="3"/>
      <c r="D6" s="3">
        <v>-50</v>
      </c>
      <c r="E6" s="3"/>
      <c r="F6" s="3"/>
      <c r="G6" s="3"/>
      <c r="H6" s="3"/>
      <c r="I6" s="3"/>
      <c r="J6" s="3"/>
      <c r="K6" s="3"/>
      <c r="L6" s="3">
        <v>-295.58</v>
      </c>
      <c r="M6" s="3"/>
      <c r="N6" s="32">
        <f t="shared" si="0"/>
        <v>-345.58</v>
      </c>
      <c r="O6" s="3">
        <f t="shared" si="1"/>
        <v>154.42000000000002</v>
      </c>
      <c r="P6" s="1"/>
    </row>
    <row r="7" spans="1:16">
      <c r="A7" s="29" t="s">
        <v>3</v>
      </c>
      <c r="B7" s="3">
        <v>100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2">
        <f t="shared" si="0"/>
        <v>0</v>
      </c>
      <c r="O7" s="3">
        <f t="shared" si="1"/>
        <v>100</v>
      </c>
      <c r="P7" s="1"/>
    </row>
    <row r="8" spans="1:16">
      <c r="A8" s="29" t="s">
        <v>4</v>
      </c>
      <c r="B8" s="3">
        <v>100</v>
      </c>
      <c r="C8" s="3"/>
      <c r="D8" s="3"/>
      <c r="E8" s="3"/>
      <c r="F8" s="3"/>
      <c r="G8" s="3"/>
      <c r="H8" s="3"/>
      <c r="I8" s="3"/>
      <c r="J8" s="3"/>
      <c r="K8" s="3"/>
      <c r="L8" s="3">
        <v>-80.81</v>
      </c>
      <c r="M8" s="3"/>
      <c r="N8" s="32">
        <f t="shared" si="0"/>
        <v>-80.81</v>
      </c>
      <c r="O8" s="3">
        <f t="shared" si="1"/>
        <v>19.189999999999998</v>
      </c>
      <c r="P8" s="1"/>
    </row>
    <row r="9" spans="1:16">
      <c r="A9" s="29" t="s">
        <v>5</v>
      </c>
      <c r="B9" s="3">
        <v>100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2">
        <f t="shared" si="0"/>
        <v>0</v>
      </c>
      <c r="O9" s="3">
        <f t="shared" si="1"/>
        <v>100</v>
      </c>
      <c r="P9" s="1"/>
    </row>
    <row r="10" spans="1:16">
      <c r="A10" s="2" t="s">
        <v>116</v>
      </c>
      <c r="B10" s="3">
        <v>100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>
        <v>-69.03</v>
      </c>
      <c r="N10" s="32">
        <f t="shared" si="0"/>
        <v>-69.03</v>
      </c>
      <c r="O10" s="3">
        <f t="shared" si="1"/>
        <v>30.97</v>
      </c>
      <c r="P10" s="1"/>
    </row>
    <row r="11" spans="1:16">
      <c r="A11" s="2" t="s">
        <v>117</v>
      </c>
      <c r="B11" s="3">
        <v>100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2">
        <f t="shared" si="0"/>
        <v>0</v>
      </c>
      <c r="O11" s="3">
        <f t="shared" si="1"/>
        <v>100</v>
      </c>
      <c r="P11" s="1"/>
    </row>
    <row r="12" spans="1:16">
      <c r="A12" s="2" t="s">
        <v>118</v>
      </c>
      <c r="B12" s="3">
        <v>100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>
        <v>-25.44</v>
      </c>
      <c r="N12" s="32">
        <f t="shared" si="0"/>
        <v>-25.44</v>
      </c>
      <c r="O12" s="3">
        <f t="shared" si="1"/>
        <v>74.56</v>
      </c>
      <c r="P12" s="1"/>
    </row>
    <row r="13" spans="1:16">
      <c r="A13" s="2" t="s">
        <v>7</v>
      </c>
      <c r="B13" s="3">
        <v>100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2">
        <f>SUM(C13:M13)</f>
        <v>0</v>
      </c>
      <c r="O13" s="3">
        <f t="shared" si="1"/>
        <v>100</v>
      </c>
      <c r="P13" s="1"/>
    </row>
    <row r="14" spans="1:16">
      <c r="A14" s="2" t="s">
        <v>119</v>
      </c>
      <c r="B14" s="3">
        <v>100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2">
        <f t="shared" si="0"/>
        <v>0</v>
      </c>
      <c r="O14" s="3">
        <f t="shared" si="1"/>
        <v>100</v>
      </c>
      <c r="P14" s="1"/>
    </row>
    <row r="15" spans="1:16">
      <c r="A15" s="29" t="s">
        <v>120</v>
      </c>
      <c r="B15" s="3">
        <v>100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2">
        <f t="shared" si="0"/>
        <v>0</v>
      </c>
      <c r="O15" s="3">
        <f t="shared" si="1"/>
        <v>100</v>
      </c>
      <c r="P15" s="1"/>
    </row>
    <row r="16" spans="1:16">
      <c r="A16" s="2" t="s">
        <v>121</v>
      </c>
      <c r="B16" s="3">
        <v>200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2">
        <f t="shared" si="0"/>
        <v>0</v>
      </c>
      <c r="O16" s="3">
        <f t="shared" si="1"/>
        <v>200</v>
      </c>
      <c r="P16" s="1"/>
    </row>
    <row r="17" spans="1:16">
      <c r="A17" s="2" t="s">
        <v>10</v>
      </c>
      <c r="B17" s="3">
        <v>300</v>
      </c>
      <c r="C17" s="3"/>
      <c r="D17" s="3"/>
      <c r="E17" s="3"/>
      <c r="F17" s="3"/>
      <c r="G17" s="26"/>
      <c r="H17" s="3"/>
      <c r="I17" s="3"/>
      <c r="J17" s="3">
        <f>-250-116.53</f>
        <v>-366.53</v>
      </c>
      <c r="K17" s="3">
        <f>144-19.98</f>
        <v>124.02</v>
      </c>
      <c r="L17" s="3"/>
      <c r="M17" s="3"/>
      <c r="N17" s="32">
        <f t="shared" si="0"/>
        <v>-242.51</v>
      </c>
      <c r="O17" s="3">
        <f t="shared" si="1"/>
        <v>57.490000000000009</v>
      </c>
      <c r="P17" s="1"/>
    </row>
    <row r="18" spans="1:16">
      <c r="A18" s="2" t="s">
        <v>11</v>
      </c>
      <c r="B18" s="3">
        <v>600</v>
      </c>
      <c r="C18" s="3"/>
      <c r="D18" s="3"/>
      <c r="E18" s="3"/>
      <c r="F18" s="3"/>
      <c r="G18" s="3"/>
      <c r="H18" s="3"/>
      <c r="I18" s="3"/>
      <c r="J18" s="3"/>
      <c r="L18" s="3">
        <v>-450</v>
      </c>
      <c r="M18" s="3">
        <f>450+239.88-239.88-495.54</f>
        <v>-45.54000000000002</v>
      </c>
      <c r="N18" s="32">
        <f t="shared" si="0"/>
        <v>-495.54</v>
      </c>
      <c r="O18" s="3">
        <f t="shared" si="1"/>
        <v>104.45999999999998</v>
      </c>
      <c r="P18" s="1"/>
    </row>
    <row r="19" spans="1:16">
      <c r="A19" s="2" t="s">
        <v>12</v>
      </c>
      <c r="B19" s="3">
        <v>1500</v>
      </c>
      <c r="C19" s="3"/>
      <c r="D19" s="3"/>
      <c r="E19" s="3"/>
      <c r="F19" s="3">
        <v>0</v>
      </c>
      <c r="G19" s="3"/>
      <c r="H19" s="3"/>
      <c r="I19" s="3"/>
      <c r="J19" s="3"/>
      <c r="K19" s="3"/>
      <c r="L19" s="3">
        <v>-1556.67</v>
      </c>
      <c r="M19" s="3"/>
      <c r="N19" s="32">
        <f t="shared" si="0"/>
        <v>-1556.67</v>
      </c>
      <c r="O19" s="3">
        <f t="shared" si="1"/>
        <v>-56.670000000000073</v>
      </c>
      <c r="P19" s="1"/>
    </row>
    <row r="20" spans="1:16">
      <c r="A20" s="2" t="s">
        <v>13</v>
      </c>
      <c r="B20" s="3">
        <v>300</v>
      </c>
      <c r="C20" s="3"/>
      <c r="D20" s="3"/>
      <c r="E20" s="3"/>
      <c r="F20" s="3"/>
      <c r="G20" s="3"/>
      <c r="H20" s="3"/>
      <c r="I20" s="3"/>
      <c r="J20" s="3"/>
      <c r="K20" s="3">
        <v>-300</v>
      </c>
      <c r="L20" s="3"/>
      <c r="M20" s="3">
        <f>74.8-22.24</f>
        <v>52.56</v>
      </c>
      <c r="N20" s="32">
        <f t="shared" si="0"/>
        <v>-247.44</v>
      </c>
      <c r="O20" s="3">
        <f t="shared" si="1"/>
        <v>52.56</v>
      </c>
      <c r="P20" s="1"/>
    </row>
    <row r="21" spans="1:16">
      <c r="A21" s="2" t="s">
        <v>14</v>
      </c>
      <c r="B21" s="3">
        <v>500</v>
      </c>
      <c r="C21" s="3"/>
      <c r="D21" s="3"/>
      <c r="E21" s="3"/>
      <c r="F21" s="3"/>
      <c r="G21" s="3"/>
      <c r="H21" s="3"/>
      <c r="I21" s="3"/>
      <c r="J21" s="3"/>
      <c r="K21" s="3"/>
      <c r="L21" s="3">
        <v>-721.54</v>
      </c>
      <c r="M21" s="3"/>
      <c r="N21" s="32">
        <f t="shared" si="0"/>
        <v>-721.54</v>
      </c>
      <c r="O21" s="3">
        <f t="shared" si="1"/>
        <v>-221.53999999999996</v>
      </c>
      <c r="P21" s="1"/>
    </row>
    <row r="22" spans="1:16">
      <c r="A22" s="2" t="s">
        <v>15</v>
      </c>
      <c r="B22" s="3">
        <v>150</v>
      </c>
      <c r="C22" s="3"/>
      <c r="D22" s="3"/>
      <c r="E22" s="3"/>
      <c r="F22" s="3"/>
      <c r="G22" s="3"/>
      <c r="J22" s="3"/>
      <c r="K22" s="3"/>
      <c r="L22" s="3"/>
      <c r="M22" s="3"/>
      <c r="N22" s="32">
        <f t="shared" si="0"/>
        <v>0</v>
      </c>
      <c r="O22" s="3">
        <f t="shared" si="1"/>
        <v>150</v>
      </c>
      <c r="P22" s="1"/>
    </row>
    <row r="23" spans="1:16">
      <c r="A23" s="2" t="s">
        <v>16</v>
      </c>
      <c r="B23" s="3">
        <v>150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>
        <v>-144.02000000000001</v>
      </c>
      <c r="N23" s="32">
        <f t="shared" si="0"/>
        <v>-144.02000000000001</v>
      </c>
      <c r="O23" s="3">
        <f t="shared" si="1"/>
        <v>5.9799999999999898</v>
      </c>
      <c r="P23" s="1"/>
    </row>
    <row r="24" spans="1:16">
      <c r="A24" s="2" t="s">
        <v>122</v>
      </c>
      <c r="B24" s="3">
        <v>3200</v>
      </c>
      <c r="C24" s="3"/>
      <c r="D24" s="3"/>
      <c r="E24" s="3"/>
      <c r="F24" s="3"/>
      <c r="G24" s="3">
        <v>-375</v>
      </c>
      <c r="H24" s="3">
        <v>-550</v>
      </c>
      <c r="I24" s="3">
        <f>-59.41-650</f>
        <v>-709.41</v>
      </c>
      <c r="J24" s="3">
        <v>0</v>
      </c>
      <c r="K24" s="3">
        <f>-56.25-63.19-34-7.8</f>
        <v>-161.24</v>
      </c>
      <c r="L24" s="3">
        <f>-258.76-48.35-71.91</f>
        <v>-379.02</v>
      </c>
      <c r="M24" s="3">
        <v>-44.88</v>
      </c>
      <c r="N24" s="32">
        <f t="shared" si="0"/>
        <v>-2219.5500000000002</v>
      </c>
      <c r="O24" s="3">
        <f t="shared" si="1"/>
        <v>980.44999999999982</v>
      </c>
      <c r="P24" s="1"/>
    </row>
    <row r="25" spans="1:16">
      <c r="A25" s="2" t="s">
        <v>123</v>
      </c>
      <c r="B25" s="3">
        <v>9000</v>
      </c>
      <c r="C25" s="3"/>
      <c r="D25" s="3"/>
      <c r="E25" s="3"/>
      <c r="F25" s="3">
        <v>-806.75</v>
      </c>
      <c r="G25" s="3"/>
      <c r="H25" s="3"/>
      <c r="I25" s="3">
        <v>-348</v>
      </c>
      <c r="J25" s="3"/>
      <c r="K25" s="3">
        <f>-414-307+198-184-90.11</f>
        <v>-797.11</v>
      </c>
      <c r="L25" s="3">
        <f>40-307</f>
        <v>-267</v>
      </c>
      <c r="M25" s="3">
        <f>-958.58-451.53-71.93</f>
        <v>-1482.0400000000002</v>
      </c>
      <c r="N25" s="32">
        <f t="shared" si="0"/>
        <v>-3700.9000000000005</v>
      </c>
      <c r="O25" s="3">
        <f t="shared" si="1"/>
        <v>5299.0999999999995</v>
      </c>
      <c r="P25" s="1"/>
    </row>
    <row r="26" spans="1:16">
      <c r="A26" s="2" t="s">
        <v>124</v>
      </c>
      <c r="B26" s="3">
        <v>500</v>
      </c>
      <c r="C26" s="3"/>
      <c r="D26" s="3"/>
      <c r="E26" s="3"/>
      <c r="F26" s="3"/>
      <c r="G26" s="3"/>
      <c r="H26" s="3"/>
      <c r="I26" s="3"/>
      <c r="J26" s="3"/>
      <c r="K26" s="3">
        <v>-1000</v>
      </c>
      <c r="L26" s="3"/>
      <c r="M26" s="3"/>
      <c r="N26" s="32">
        <f t="shared" si="0"/>
        <v>-1000</v>
      </c>
      <c r="O26" s="3">
        <f t="shared" si="1"/>
        <v>-500</v>
      </c>
      <c r="P26" s="1"/>
    </row>
    <row r="27" spans="1:16">
      <c r="A27" s="2" t="s">
        <v>125</v>
      </c>
      <c r="B27" s="3">
        <v>100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2">
        <f t="shared" si="0"/>
        <v>0</v>
      </c>
      <c r="O27" s="3">
        <f t="shared" si="1"/>
        <v>100</v>
      </c>
      <c r="P27" s="1"/>
    </row>
    <row r="28" spans="1:16">
      <c r="A28" s="2" t="s">
        <v>17</v>
      </c>
      <c r="B28" s="3">
        <v>250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2">
        <f t="shared" si="0"/>
        <v>0</v>
      </c>
      <c r="O28" s="3">
        <f t="shared" si="1"/>
        <v>250</v>
      </c>
      <c r="P28" s="1"/>
    </row>
    <row r="29" spans="1:16">
      <c r="A29" s="2" t="s">
        <v>126</v>
      </c>
      <c r="B29" s="3">
        <v>200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>
        <v>-195</v>
      </c>
      <c r="N29" s="32">
        <f t="shared" si="0"/>
        <v>-195</v>
      </c>
      <c r="O29" s="3">
        <f t="shared" si="1"/>
        <v>5</v>
      </c>
      <c r="P29" s="1"/>
    </row>
    <row r="30" spans="1:16">
      <c r="A30" s="2" t="s">
        <v>18</v>
      </c>
      <c r="B30" s="3">
        <v>250</v>
      </c>
      <c r="C30" s="3"/>
      <c r="D30" s="3"/>
      <c r="E30" s="3">
        <v>-20</v>
      </c>
      <c r="F30" s="3"/>
      <c r="G30" s="3">
        <v>-30</v>
      </c>
      <c r="H30" s="3"/>
      <c r="I30" s="3"/>
      <c r="J30" s="3"/>
      <c r="K30" s="3"/>
      <c r="L30" s="3"/>
      <c r="M30" s="3"/>
      <c r="N30" s="32">
        <f t="shared" si="0"/>
        <v>-50</v>
      </c>
      <c r="O30" s="3">
        <f t="shared" si="1"/>
        <v>200</v>
      </c>
      <c r="P30" s="1"/>
    </row>
    <row r="31" spans="1:16">
      <c r="A31" s="2" t="s">
        <v>127</v>
      </c>
      <c r="B31" s="3">
        <v>150</v>
      </c>
      <c r="C31" s="3"/>
      <c r="D31" s="3"/>
      <c r="E31" s="3"/>
      <c r="F31" s="3">
        <v>-137.5</v>
      </c>
      <c r="G31" s="3"/>
      <c r="H31" s="3"/>
      <c r="I31" s="3"/>
      <c r="J31" s="3"/>
      <c r="K31" s="3"/>
      <c r="L31" s="3"/>
      <c r="M31" s="3"/>
      <c r="N31" s="32">
        <f t="shared" si="0"/>
        <v>-137.5</v>
      </c>
      <c r="O31" s="3">
        <f t="shared" si="1"/>
        <v>12.5</v>
      </c>
      <c r="P31" s="1"/>
    </row>
    <row r="32" spans="1:16">
      <c r="A32" s="2" t="s">
        <v>128</v>
      </c>
      <c r="B32" s="3">
        <v>50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2">
        <f t="shared" si="0"/>
        <v>0</v>
      </c>
      <c r="O32" s="3">
        <f t="shared" si="1"/>
        <v>50</v>
      </c>
      <c r="P32" s="1"/>
    </row>
    <row r="33" spans="1:16">
      <c r="A33" s="2" t="s">
        <v>19</v>
      </c>
      <c r="B33" s="3">
        <v>300</v>
      </c>
      <c r="C33" s="3"/>
      <c r="D33" s="3"/>
      <c r="E33" s="3"/>
      <c r="F33" s="3"/>
      <c r="G33" s="3"/>
      <c r="H33" s="3"/>
      <c r="I33" s="3"/>
      <c r="J33" s="3"/>
      <c r="K33" s="3"/>
      <c r="L33" s="3">
        <v>-298</v>
      </c>
      <c r="M33" s="3"/>
      <c r="N33" s="32">
        <f t="shared" si="0"/>
        <v>-298</v>
      </c>
      <c r="O33" s="3">
        <f t="shared" si="1"/>
        <v>2</v>
      </c>
      <c r="P33" s="1"/>
    </row>
    <row r="34" spans="1:16">
      <c r="A34" s="2" t="s">
        <v>20</v>
      </c>
      <c r="B34" s="3">
        <v>1000</v>
      </c>
      <c r="C34" s="3"/>
      <c r="D34" s="3"/>
      <c r="E34" s="3"/>
      <c r="F34" s="3"/>
      <c r="G34" s="3"/>
      <c r="H34" s="3"/>
      <c r="I34" s="3">
        <v>-925</v>
      </c>
      <c r="J34" s="3"/>
      <c r="K34" s="3"/>
      <c r="L34" s="3"/>
      <c r="M34" s="3"/>
      <c r="N34" s="32">
        <f t="shared" si="0"/>
        <v>-925</v>
      </c>
      <c r="O34" s="3">
        <f t="shared" si="1"/>
        <v>75</v>
      </c>
      <c r="P34" s="1"/>
    </row>
    <row r="35" spans="1:16">
      <c r="A35" s="2" t="s">
        <v>21</v>
      </c>
      <c r="B35" s="3">
        <v>50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2">
        <f t="shared" si="0"/>
        <v>0</v>
      </c>
      <c r="O35" s="3">
        <f t="shared" si="1"/>
        <v>50</v>
      </c>
      <c r="P35" s="1"/>
    </row>
    <row r="36" spans="1:16">
      <c r="A36" s="2" t="s">
        <v>22</v>
      </c>
      <c r="B36" s="3">
        <v>500</v>
      </c>
      <c r="C36" s="3"/>
      <c r="D36" s="3">
        <v>-220.91</v>
      </c>
      <c r="E36" s="3"/>
      <c r="F36" s="3"/>
      <c r="G36" s="3"/>
      <c r="H36" s="3"/>
      <c r="I36" s="3"/>
      <c r="J36" s="3"/>
      <c r="K36" s="3"/>
      <c r="L36" s="3">
        <v>-61.75</v>
      </c>
      <c r="M36" s="3">
        <v>-73.38</v>
      </c>
      <c r="N36" s="32">
        <f t="shared" si="0"/>
        <v>-356.03999999999996</v>
      </c>
      <c r="O36" s="3">
        <f t="shared" si="1"/>
        <v>143.96000000000004</v>
      </c>
      <c r="P36" s="1"/>
    </row>
    <row r="37" spans="1:16">
      <c r="A37" s="2" t="s">
        <v>129</v>
      </c>
      <c r="B37" s="3">
        <v>25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2">
        <f t="shared" si="0"/>
        <v>0</v>
      </c>
      <c r="O37" s="3">
        <f t="shared" si="1"/>
        <v>25</v>
      </c>
      <c r="P37" s="1"/>
    </row>
    <row r="38" spans="1:16">
      <c r="A38" s="2" t="s">
        <v>130</v>
      </c>
      <c r="B38" s="3">
        <v>500</v>
      </c>
      <c r="C38" s="3"/>
      <c r="D38" s="3"/>
      <c r="E38" s="3"/>
      <c r="F38" s="3"/>
      <c r="G38" s="3">
        <v>-500</v>
      </c>
      <c r="H38" s="3"/>
      <c r="I38" s="3"/>
      <c r="J38" s="3"/>
      <c r="K38" s="3"/>
      <c r="L38" s="3"/>
      <c r="M38" s="3"/>
      <c r="N38" s="32">
        <f t="shared" si="0"/>
        <v>-500</v>
      </c>
      <c r="O38" s="3">
        <f t="shared" si="1"/>
        <v>0</v>
      </c>
      <c r="P38" s="1"/>
    </row>
    <row r="39" spans="1:16">
      <c r="A39" s="2" t="s">
        <v>23</v>
      </c>
      <c r="B39" s="3">
        <f>'[1]Staff List'!B29</f>
        <v>4200</v>
      </c>
      <c r="C39" s="3">
        <f>+Staff!C28</f>
        <v>0</v>
      </c>
      <c r="D39" s="3">
        <f>+Staff!D28</f>
        <v>0</v>
      </c>
      <c r="E39" s="3">
        <f>+Staff!E28</f>
        <v>-150</v>
      </c>
      <c r="F39" s="3">
        <f>+Staff!F28</f>
        <v>-229.02</v>
      </c>
      <c r="G39" s="3">
        <f>+Staff!G28</f>
        <v>-150</v>
      </c>
      <c r="H39" s="3">
        <f>+Staff!H28</f>
        <v>0</v>
      </c>
      <c r="I39" s="3">
        <f>+Staff!I28</f>
        <v>-350.48</v>
      </c>
      <c r="J39" s="3">
        <f>+Staff!J28</f>
        <v>0</v>
      </c>
      <c r="K39" s="3">
        <f>+Staff!K28</f>
        <v>-600</v>
      </c>
      <c r="L39" s="3">
        <f>+Staff!L28</f>
        <v>-724</v>
      </c>
      <c r="M39" s="3">
        <f>+Staff!M28</f>
        <v>-1442.28</v>
      </c>
      <c r="N39" s="32">
        <f>SUM(C39:M39)</f>
        <v>-3645.7799999999997</v>
      </c>
      <c r="O39" s="3">
        <f t="shared" si="1"/>
        <v>554.22000000000025</v>
      </c>
      <c r="P39" s="1"/>
    </row>
    <row r="40" spans="1:16">
      <c r="A40" s="2" t="s">
        <v>24</v>
      </c>
      <c r="B40" s="3">
        <f t="shared" ref="B40:O40" si="2">SUM(B3:B39)</f>
        <v>31125</v>
      </c>
      <c r="C40" s="3">
        <f t="shared" si="2"/>
        <v>0</v>
      </c>
      <c r="D40" s="3">
        <f t="shared" si="2"/>
        <v>-270.90999999999997</v>
      </c>
      <c r="E40" s="3">
        <f t="shared" si="2"/>
        <v>-170</v>
      </c>
      <c r="F40" s="3">
        <f t="shared" si="2"/>
        <v>-1173.27</v>
      </c>
      <c r="G40" s="3">
        <f t="shared" si="2"/>
        <v>-1155</v>
      </c>
      <c r="H40" s="3">
        <f t="shared" si="2"/>
        <v>-550</v>
      </c>
      <c r="I40" s="3">
        <f t="shared" si="2"/>
        <v>-2332.89</v>
      </c>
      <c r="J40" s="3">
        <f t="shared" si="2"/>
        <v>-616.53</v>
      </c>
      <c r="K40" s="3">
        <f t="shared" si="2"/>
        <v>-3556.08</v>
      </c>
      <c r="L40" s="3">
        <f t="shared" si="2"/>
        <v>-7707.82</v>
      </c>
      <c r="M40" s="3">
        <f t="shared" si="2"/>
        <v>-4942.67</v>
      </c>
      <c r="N40" s="3">
        <f t="shared" si="2"/>
        <v>-22475.170000000002</v>
      </c>
      <c r="O40" s="3">
        <f t="shared" si="2"/>
        <v>8649.83</v>
      </c>
    </row>
  </sheetData>
  <sortState ref="A2:P42">
    <sortCondition ref="A2:A42"/>
  </sortState>
  <pageMargins left="0.7" right="0.7" top="0.75" bottom="0.75" header="0.3" footer="0.3"/>
  <pageSetup scale="6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29"/>
  <sheetViews>
    <sheetView topLeftCell="A4" zoomScale="98" zoomScaleNormal="98" zoomScalePageLayoutView="98" workbookViewId="0">
      <selection activeCell="D33" sqref="D33"/>
    </sheetView>
  </sheetViews>
  <sheetFormatPr baseColWidth="10" defaultColWidth="8.83203125" defaultRowHeight="14" x14ac:dyDescent="0"/>
  <cols>
    <col min="1" max="1" width="27.83203125" bestFit="1" customWidth="1"/>
    <col min="2" max="2" width="8.33203125" bestFit="1" customWidth="1"/>
    <col min="3" max="3" width="9.33203125" bestFit="1" customWidth="1"/>
    <col min="4" max="4" width="9.83203125" bestFit="1" customWidth="1"/>
    <col min="5" max="5" width="9.33203125" bestFit="1" customWidth="1"/>
    <col min="6" max="6" width="9.83203125" bestFit="1" customWidth="1"/>
    <col min="7" max="7" width="8.33203125" bestFit="1" customWidth="1"/>
    <col min="8" max="9" width="9.33203125" bestFit="1" customWidth="1"/>
    <col min="10" max="10" width="9.83203125" bestFit="1" customWidth="1"/>
    <col min="11" max="11" width="10.1640625" customWidth="1"/>
    <col min="12" max="12" width="9.83203125" bestFit="1" customWidth="1"/>
    <col min="13" max="13" width="13.5" bestFit="1" customWidth="1"/>
    <col min="14" max="14" width="11.5" bestFit="1" customWidth="1"/>
    <col min="15" max="15" width="9.83203125" bestFit="1" customWidth="1"/>
    <col min="16" max="16" width="11.33203125" bestFit="1" customWidth="1"/>
    <col min="17" max="17" width="16.33203125" bestFit="1" customWidth="1"/>
    <col min="18" max="18" width="11" bestFit="1" customWidth="1"/>
  </cols>
  <sheetData>
    <row r="1" spans="1:18">
      <c r="A1" s="6" t="s">
        <v>47</v>
      </c>
      <c r="B1" s="9" t="s">
        <v>80</v>
      </c>
      <c r="C1" s="9" t="s">
        <v>81</v>
      </c>
      <c r="D1" s="9" t="s">
        <v>82</v>
      </c>
      <c r="E1" s="9" t="s">
        <v>83</v>
      </c>
      <c r="F1" s="9" t="s">
        <v>84</v>
      </c>
      <c r="G1" s="9" t="s">
        <v>85</v>
      </c>
      <c r="H1" s="9" t="s">
        <v>86</v>
      </c>
      <c r="I1" s="9" t="s">
        <v>87</v>
      </c>
      <c r="J1" s="9" t="s">
        <v>88</v>
      </c>
      <c r="K1" s="9" t="s">
        <v>89</v>
      </c>
      <c r="L1" s="9" t="s">
        <v>90</v>
      </c>
      <c r="M1" s="7" t="s">
        <v>42</v>
      </c>
      <c r="P1" s="8" t="s">
        <v>43</v>
      </c>
      <c r="Q1" s="8" t="s">
        <v>44</v>
      </c>
      <c r="R1" s="8" t="s">
        <v>27</v>
      </c>
    </row>
    <row r="2" spans="1:18">
      <c r="A2" s="2" t="s">
        <v>30</v>
      </c>
      <c r="B2" s="3"/>
      <c r="C2" s="3">
        <v>6786</v>
      </c>
      <c r="D2" s="3">
        <v>-1448</v>
      </c>
      <c r="E2" s="3">
        <v>75</v>
      </c>
      <c r="F2" s="3"/>
      <c r="G2" s="3"/>
      <c r="H2" s="3">
        <v>-31.78</v>
      </c>
      <c r="I2" s="3"/>
      <c r="J2" s="3"/>
      <c r="K2" s="3"/>
      <c r="L2" s="3"/>
      <c r="M2" s="3"/>
      <c r="N2" s="3"/>
      <c r="O2" s="3"/>
      <c r="P2" s="32">
        <f>SUM(B2:O2)</f>
        <v>5381.22</v>
      </c>
      <c r="Q2" s="3">
        <v>6500</v>
      </c>
      <c r="R2" s="3">
        <f>P2-Q2</f>
        <v>-1118.7799999999997</v>
      </c>
    </row>
    <row r="3" spans="1:18">
      <c r="A3" s="2" t="s">
        <v>31</v>
      </c>
      <c r="B3" s="3"/>
      <c r="C3" s="3"/>
      <c r="D3" s="3">
        <v>-404.9</v>
      </c>
      <c r="E3" s="3">
        <v>2950.08</v>
      </c>
      <c r="F3" s="3">
        <v>40</v>
      </c>
      <c r="G3" s="3"/>
      <c r="H3" s="3"/>
      <c r="I3" s="3"/>
      <c r="J3" s="3"/>
      <c r="K3" s="3"/>
      <c r="L3" s="3"/>
      <c r="M3" s="3"/>
      <c r="N3" s="3"/>
      <c r="O3" s="3"/>
      <c r="P3" s="32">
        <f t="shared" ref="P3:P14" si="0">SUM(B3:O3)</f>
        <v>2585.1799999999998</v>
      </c>
      <c r="Q3" s="3">
        <v>5500</v>
      </c>
      <c r="R3" s="3">
        <f t="shared" ref="R3:R14" si="1">P3-Q3</f>
        <v>-2914.82</v>
      </c>
    </row>
    <row r="4" spans="1:18">
      <c r="A4" s="2" t="s">
        <v>137</v>
      </c>
      <c r="B4" s="3"/>
      <c r="C4" s="3"/>
      <c r="D4" s="3">
        <v>522.75</v>
      </c>
      <c r="E4" s="3">
        <v>235</v>
      </c>
      <c r="F4" s="3">
        <v>-76.489999999999995</v>
      </c>
      <c r="G4" s="3"/>
      <c r="H4" s="3"/>
      <c r="I4" s="3"/>
      <c r="J4" s="3"/>
      <c r="K4" s="3"/>
      <c r="L4" s="3"/>
      <c r="M4" s="3"/>
      <c r="N4" s="3"/>
      <c r="O4" s="3"/>
      <c r="P4" s="32">
        <f t="shared" si="0"/>
        <v>681.26</v>
      </c>
      <c r="Q4" s="3">
        <v>500</v>
      </c>
      <c r="R4" s="3">
        <f t="shared" si="1"/>
        <v>181.26</v>
      </c>
    </row>
    <row r="5" spans="1:18">
      <c r="A5" s="2" t="s">
        <v>33</v>
      </c>
      <c r="B5" s="3"/>
      <c r="C5" s="3"/>
      <c r="D5" s="3"/>
      <c r="E5" s="3"/>
      <c r="F5" s="3"/>
      <c r="G5" s="3"/>
      <c r="H5" s="3"/>
      <c r="I5" s="3"/>
      <c r="J5" s="3"/>
      <c r="K5" s="3">
        <f>-50-75-414.65-18.04-50</f>
        <v>-607.68999999999994</v>
      </c>
      <c r="L5" s="3">
        <f>-15-550-125-900-500+205+5381.4+1148.4+3-12-96.37-215.48-39.82+2661</f>
        <v>6945.13</v>
      </c>
      <c r="M5" s="3"/>
      <c r="N5" s="3"/>
      <c r="O5" s="3"/>
      <c r="P5" s="32">
        <f>SUM(B5:O5)</f>
        <v>6337.4400000000005</v>
      </c>
      <c r="Q5" s="3">
        <v>5000</v>
      </c>
      <c r="R5" s="3">
        <f t="shared" si="1"/>
        <v>1337.4400000000005</v>
      </c>
    </row>
    <row r="6" spans="1:18">
      <c r="A6" s="2" t="s">
        <v>34</v>
      </c>
      <c r="B6" s="3"/>
      <c r="C6" s="3">
        <f>2070-1035</f>
        <v>1035</v>
      </c>
      <c r="D6" s="3"/>
      <c r="E6" s="3"/>
      <c r="F6" s="3"/>
      <c r="G6" s="3"/>
      <c r="H6" s="3"/>
      <c r="I6" s="3"/>
      <c r="J6" s="3"/>
      <c r="K6" s="3"/>
      <c r="L6" s="3">
        <f>-808+764</f>
        <v>-44</v>
      </c>
      <c r="M6" s="3"/>
      <c r="N6" s="3"/>
      <c r="O6" s="3"/>
      <c r="P6" s="32">
        <f t="shared" si="0"/>
        <v>991</v>
      </c>
      <c r="Q6" s="3">
        <v>2000</v>
      </c>
      <c r="R6" s="3">
        <f t="shared" si="1"/>
        <v>-1009</v>
      </c>
    </row>
    <row r="7" spans="1:18">
      <c r="A7" s="2" t="s">
        <v>139</v>
      </c>
      <c r="B7" s="3"/>
      <c r="C7" s="3"/>
      <c r="D7" s="3"/>
      <c r="E7" s="3"/>
      <c r="F7" s="3"/>
      <c r="G7" s="3"/>
      <c r="H7" s="3"/>
      <c r="I7" s="3"/>
      <c r="J7" s="3">
        <v>62.28</v>
      </c>
      <c r="K7" s="3">
        <v>65.569999999999993</v>
      </c>
      <c r="L7" s="3">
        <v>356.5</v>
      </c>
      <c r="M7" s="3"/>
      <c r="N7" s="3"/>
      <c r="O7" s="3"/>
      <c r="P7" s="32">
        <f t="shared" si="0"/>
        <v>484.35</v>
      </c>
      <c r="Q7" s="3">
        <v>1000</v>
      </c>
      <c r="R7" s="3">
        <f t="shared" si="1"/>
        <v>-515.65</v>
      </c>
    </row>
    <row r="8" spans="1:18">
      <c r="A8" s="2" t="s">
        <v>36</v>
      </c>
      <c r="B8" s="3"/>
      <c r="C8" s="3"/>
      <c r="D8" s="3"/>
      <c r="E8" s="3"/>
      <c r="F8" s="3">
        <v>-28.61</v>
      </c>
      <c r="G8" s="3"/>
      <c r="H8" s="3">
        <v>769.7</v>
      </c>
      <c r="I8" s="3"/>
      <c r="J8" s="3">
        <f>-108.45-9.52</f>
        <v>-117.97</v>
      </c>
      <c r="K8" s="3">
        <f>1268.9-16.91</f>
        <v>1251.99</v>
      </c>
      <c r="L8" s="26">
        <v>-5.8</v>
      </c>
      <c r="M8" s="3"/>
      <c r="N8" s="3"/>
      <c r="O8" s="3"/>
      <c r="P8" s="32">
        <f t="shared" si="0"/>
        <v>1869.3100000000002</v>
      </c>
      <c r="Q8" s="3">
        <v>2000</v>
      </c>
      <c r="R8" s="3">
        <f t="shared" si="1"/>
        <v>-130.68999999999983</v>
      </c>
    </row>
    <row r="9" spans="1:18">
      <c r="A9" s="2" t="s">
        <v>37</v>
      </c>
      <c r="B9" s="3"/>
      <c r="C9" s="3">
        <v>310.20999999999998</v>
      </c>
      <c r="D9" s="3"/>
      <c r="E9" s="3"/>
      <c r="F9" s="3"/>
      <c r="G9" s="3"/>
      <c r="H9" s="3">
        <v>354.72</v>
      </c>
      <c r="I9" s="3"/>
      <c r="J9" s="3">
        <v>301.26</v>
      </c>
      <c r="K9" s="3"/>
      <c r="L9" s="3"/>
      <c r="M9" s="3"/>
      <c r="N9" s="3"/>
      <c r="O9" s="3"/>
      <c r="P9" s="32">
        <f t="shared" si="0"/>
        <v>966.19</v>
      </c>
      <c r="Q9" s="3">
        <v>1300</v>
      </c>
      <c r="R9" s="3">
        <f t="shared" si="1"/>
        <v>-333.80999999999995</v>
      </c>
    </row>
    <row r="10" spans="1:18">
      <c r="A10" s="2" t="s">
        <v>38</v>
      </c>
      <c r="B10" s="3"/>
      <c r="C10" s="3">
        <v>575.87</v>
      </c>
      <c r="D10" s="3">
        <v>43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2">
        <f t="shared" si="0"/>
        <v>618.87</v>
      </c>
      <c r="Q10" s="3">
        <v>700</v>
      </c>
      <c r="R10" s="3">
        <f t="shared" si="1"/>
        <v>-81.13</v>
      </c>
    </row>
    <row r="11" spans="1:18">
      <c r="A11" s="2" t="s">
        <v>39</v>
      </c>
      <c r="B11" s="3"/>
      <c r="C11" s="3"/>
      <c r="D11" s="3"/>
      <c r="E11" s="3">
        <v>161</v>
      </c>
      <c r="F11" s="3"/>
      <c r="G11" s="3">
        <v>-60</v>
      </c>
      <c r="H11" s="3">
        <f>42+15</f>
        <v>57</v>
      </c>
      <c r="I11" s="3"/>
      <c r="J11" s="3"/>
      <c r="K11" s="3">
        <f>26-96.86-43.5</f>
        <v>-114.36</v>
      </c>
      <c r="L11" s="3">
        <f>298+256.5+319.26</f>
        <v>873.76</v>
      </c>
      <c r="M11" s="3"/>
      <c r="N11" s="3"/>
      <c r="O11" s="3"/>
      <c r="P11" s="32">
        <f t="shared" si="0"/>
        <v>917.4</v>
      </c>
      <c r="Q11" s="3">
        <v>0</v>
      </c>
      <c r="R11" s="3">
        <f t="shared" si="1"/>
        <v>917.4</v>
      </c>
    </row>
    <row r="12" spans="1:18">
      <c r="A12" s="2" t="s">
        <v>40</v>
      </c>
      <c r="B12" s="3"/>
      <c r="C12" s="3">
        <v>118.67</v>
      </c>
      <c r="D12" s="3">
        <v>65.17</v>
      </c>
      <c r="E12" s="3"/>
      <c r="F12" s="3"/>
      <c r="G12" s="3"/>
      <c r="H12" s="3">
        <f>68.99+36.76</f>
        <v>105.75</v>
      </c>
      <c r="I12" s="3"/>
      <c r="J12" s="3">
        <f>91.74+31.37</f>
        <v>123.11</v>
      </c>
      <c r="K12" s="3">
        <f>46.02+63.22</f>
        <v>109.24000000000001</v>
      </c>
      <c r="L12" s="3"/>
      <c r="M12" s="3"/>
      <c r="N12" s="3"/>
      <c r="O12" s="3"/>
      <c r="P12" s="32">
        <f t="shared" si="0"/>
        <v>521.94000000000005</v>
      </c>
      <c r="Q12" s="3">
        <v>1250</v>
      </c>
      <c r="R12" s="3">
        <f t="shared" si="1"/>
        <v>-728.06</v>
      </c>
    </row>
    <row r="13" spans="1:18">
      <c r="A13" s="2" t="s">
        <v>41</v>
      </c>
      <c r="B13" s="3"/>
      <c r="C13" s="3"/>
      <c r="D13" s="3"/>
      <c r="E13" s="3">
        <v>-252</v>
      </c>
      <c r="F13" s="3">
        <f>-5740.4+7060.85-360</f>
        <v>960.45000000000073</v>
      </c>
      <c r="G13" s="3"/>
      <c r="H13" s="3"/>
      <c r="I13" s="3"/>
      <c r="J13" s="3"/>
      <c r="K13" s="3"/>
      <c r="L13" s="3"/>
      <c r="M13" s="3"/>
      <c r="N13" s="3"/>
      <c r="O13" s="3"/>
      <c r="P13" s="32">
        <f t="shared" si="0"/>
        <v>708.45000000000073</v>
      </c>
      <c r="Q13" s="3">
        <v>500</v>
      </c>
      <c r="R13" s="3">
        <f t="shared" si="1"/>
        <v>208.45000000000073</v>
      </c>
    </row>
    <row r="14" spans="1:18">
      <c r="A14" s="2" t="s">
        <v>132</v>
      </c>
      <c r="B14" s="3"/>
      <c r="C14" s="3"/>
      <c r="D14" s="3"/>
      <c r="E14" s="3">
        <f>2139+27</f>
        <v>2166</v>
      </c>
      <c r="F14" s="3">
        <f>-1666.5+67</f>
        <v>-1599.5</v>
      </c>
      <c r="G14" s="3"/>
      <c r="H14" s="3">
        <v>39.5</v>
      </c>
      <c r="I14" s="3"/>
      <c r="J14" s="3"/>
      <c r="K14" s="3"/>
      <c r="L14" s="3"/>
      <c r="M14" s="3"/>
      <c r="N14" s="3"/>
      <c r="O14" s="3"/>
      <c r="P14" s="32">
        <f t="shared" si="0"/>
        <v>606</v>
      </c>
      <c r="Q14" s="3">
        <v>500</v>
      </c>
      <c r="R14" s="3">
        <f t="shared" si="1"/>
        <v>106</v>
      </c>
    </row>
    <row r="15" spans="1:18">
      <c r="A15" s="2" t="s">
        <v>45</v>
      </c>
      <c r="B15" s="3">
        <f>SUM(B2:B13)</f>
        <v>0</v>
      </c>
      <c r="C15" s="3">
        <f t="shared" ref="C15:O15" si="2">SUM(C2:C13)</f>
        <v>8825.75</v>
      </c>
      <c r="D15" s="3">
        <f t="shared" si="2"/>
        <v>-1221.98</v>
      </c>
      <c r="E15" s="3">
        <f t="shared" si="2"/>
        <v>3169.08</v>
      </c>
      <c r="F15" s="3">
        <f t="shared" si="2"/>
        <v>895.3500000000007</v>
      </c>
      <c r="G15" s="3">
        <f t="shared" si="2"/>
        <v>-60</v>
      </c>
      <c r="H15" s="3">
        <f t="shared" si="2"/>
        <v>1255.3900000000001</v>
      </c>
      <c r="I15" s="3">
        <f t="shared" si="2"/>
        <v>0</v>
      </c>
      <c r="J15" s="3">
        <f t="shared" si="2"/>
        <v>368.68</v>
      </c>
      <c r="K15" s="3">
        <f t="shared" si="2"/>
        <v>704.75000000000011</v>
      </c>
      <c r="L15" s="3">
        <f t="shared" si="2"/>
        <v>8125.59</v>
      </c>
      <c r="M15" s="3">
        <f t="shared" si="2"/>
        <v>0</v>
      </c>
      <c r="N15" s="3">
        <f t="shared" si="2"/>
        <v>0</v>
      </c>
      <c r="O15" s="3">
        <f t="shared" si="2"/>
        <v>0</v>
      </c>
      <c r="P15" s="3">
        <f>SUM(P2:P14)</f>
        <v>22668.61</v>
      </c>
      <c r="Q15" s="3">
        <f>SUM(Q2:Q14)</f>
        <v>26750</v>
      </c>
      <c r="R15" s="3">
        <f>SUM(R2:R14)</f>
        <v>-4081.3899999999985</v>
      </c>
    </row>
    <row r="17" spans="1:18" s="6" customFormat="1">
      <c r="A17" s="11" t="s">
        <v>46</v>
      </c>
      <c r="B17" s="9" t="s">
        <v>80</v>
      </c>
      <c r="C17" s="9" t="s">
        <v>81</v>
      </c>
      <c r="D17" s="9" t="s">
        <v>82</v>
      </c>
      <c r="E17" s="9" t="s">
        <v>83</v>
      </c>
      <c r="F17" s="9" t="s">
        <v>84</v>
      </c>
      <c r="G17" s="9" t="s">
        <v>85</v>
      </c>
      <c r="H17" s="9" t="s">
        <v>86</v>
      </c>
      <c r="I17" s="9" t="s">
        <v>87</v>
      </c>
      <c r="J17" s="9" t="s">
        <v>88</v>
      </c>
      <c r="K17" s="9" t="s">
        <v>89</v>
      </c>
      <c r="L17" s="9" t="s">
        <v>90</v>
      </c>
      <c r="M17" s="10" t="s">
        <v>79</v>
      </c>
      <c r="N17" s="12" t="s">
        <v>55</v>
      </c>
      <c r="O17" s="12" t="s">
        <v>56</v>
      </c>
      <c r="P17" s="11"/>
      <c r="Q17" s="11"/>
      <c r="R17" s="11" t="s">
        <v>57</v>
      </c>
    </row>
    <row r="18" spans="1:18">
      <c r="A18" s="2" t="s">
        <v>48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>
        <v>7.04</v>
      </c>
      <c r="N18" s="3">
        <f>SUM(B18:L18)</f>
        <v>0</v>
      </c>
      <c r="O18" s="3"/>
      <c r="P18" s="3"/>
      <c r="Q18" s="3"/>
      <c r="R18" s="33">
        <f>M18+N18</f>
        <v>7.04</v>
      </c>
    </row>
    <row r="19" spans="1:18">
      <c r="A19" s="2" t="s">
        <v>49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>
        <v>0</v>
      </c>
      <c r="N19" s="3">
        <f t="shared" ref="N19:N27" si="3">SUM(B19:L19)</f>
        <v>0</v>
      </c>
      <c r="O19" s="3"/>
      <c r="P19" s="3"/>
      <c r="Q19" s="3"/>
      <c r="R19" s="33">
        <f t="shared" ref="R19:R28" si="4">M19+N19</f>
        <v>0</v>
      </c>
    </row>
    <row r="20" spans="1:18">
      <c r="A20" s="2" t="s">
        <v>50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>
        <f t="shared" si="3"/>
        <v>0</v>
      </c>
      <c r="O20" s="3"/>
      <c r="P20" s="3"/>
      <c r="Q20" s="3"/>
      <c r="R20" s="33">
        <f t="shared" si="4"/>
        <v>0</v>
      </c>
    </row>
    <row r="21" spans="1:18">
      <c r="A21" s="2" t="s">
        <v>51</v>
      </c>
      <c r="B21" s="3"/>
      <c r="C21" s="3">
        <v>3684.67</v>
      </c>
      <c r="D21" s="3">
        <v>-3666.03</v>
      </c>
      <c r="E21" s="3">
        <v>45.25</v>
      </c>
      <c r="F21" s="3"/>
      <c r="G21" s="3"/>
      <c r="H21" s="3"/>
      <c r="I21" s="3">
        <f>4625.18-4612.68</f>
        <v>12.5</v>
      </c>
      <c r="J21" s="3"/>
      <c r="K21" s="3"/>
      <c r="L21" s="3">
        <v>-213.23</v>
      </c>
      <c r="M21" s="3">
        <v>136.84</v>
      </c>
      <c r="N21" s="3">
        <f>SUM(B21:L21)</f>
        <v>-136.84000000000012</v>
      </c>
      <c r="O21" s="3"/>
      <c r="P21" s="3"/>
      <c r="Q21" s="3"/>
      <c r="R21" s="33">
        <f>M21+N21+O21</f>
        <v>-1.1368683772161603E-13</v>
      </c>
    </row>
    <row r="22" spans="1:18">
      <c r="A22" s="2" t="s">
        <v>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f t="shared" si="3"/>
        <v>0</v>
      </c>
      <c r="O22" s="3"/>
      <c r="P22" s="3"/>
      <c r="Q22" s="3"/>
      <c r="R22" s="33">
        <f t="shared" si="4"/>
        <v>0</v>
      </c>
    </row>
    <row r="23" spans="1:18">
      <c r="A23" s="2" t="s">
        <v>52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>
        <v>8403.4</v>
      </c>
      <c r="N23" s="3">
        <f t="shared" si="3"/>
        <v>0</v>
      </c>
      <c r="O23" s="3"/>
      <c r="P23" s="3"/>
      <c r="Q23" s="3"/>
      <c r="R23" s="33">
        <f t="shared" si="4"/>
        <v>8403.4</v>
      </c>
    </row>
    <row r="24" spans="1:18">
      <c r="A24" s="2" t="s">
        <v>53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>
        <f t="shared" si="3"/>
        <v>0</v>
      </c>
      <c r="O24" s="3"/>
      <c r="P24" s="3"/>
      <c r="Q24" s="3"/>
      <c r="R24" s="33">
        <f t="shared" si="4"/>
        <v>0</v>
      </c>
    </row>
    <row r="25" spans="1:18">
      <c r="A25" s="2" t="s">
        <v>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>
        <v>13.18</v>
      </c>
      <c r="N25" s="3">
        <f t="shared" si="3"/>
        <v>0</v>
      </c>
      <c r="O25" s="3"/>
      <c r="P25" s="3"/>
      <c r="Q25" s="3"/>
      <c r="R25" s="33">
        <f t="shared" si="4"/>
        <v>13.18</v>
      </c>
    </row>
    <row r="26" spans="1:18">
      <c r="A26" s="2" t="s">
        <v>8</v>
      </c>
      <c r="B26" s="3"/>
      <c r="C26" s="3"/>
      <c r="D26" s="3"/>
      <c r="E26" s="3"/>
      <c r="F26" s="3"/>
      <c r="G26" s="3"/>
      <c r="H26" s="3">
        <f>1497-252</f>
        <v>1245</v>
      </c>
      <c r="I26" s="3"/>
      <c r="J26" s="3">
        <v>-300</v>
      </c>
      <c r="K26" s="3">
        <v>351.77</v>
      </c>
      <c r="L26" s="3">
        <v>-1500</v>
      </c>
      <c r="M26" s="3">
        <v>590.83000000000004</v>
      </c>
      <c r="N26" s="3">
        <f>SUM(B26:L26)</f>
        <v>-203.23000000000002</v>
      </c>
      <c r="O26" s="3"/>
      <c r="P26" s="3"/>
      <c r="Q26" s="3"/>
      <c r="R26" s="33">
        <f t="shared" si="4"/>
        <v>387.6</v>
      </c>
    </row>
    <row r="27" spans="1:18">
      <c r="A27" s="2" t="s">
        <v>9</v>
      </c>
      <c r="B27" s="3"/>
      <c r="C27" s="3"/>
      <c r="D27" s="3"/>
      <c r="E27" s="3"/>
      <c r="F27" s="3"/>
      <c r="G27" s="3"/>
      <c r="H27" s="3">
        <v>-627</v>
      </c>
      <c r="I27" s="3"/>
      <c r="J27" s="3">
        <v>-87.43</v>
      </c>
      <c r="K27" s="3"/>
      <c r="L27" s="3"/>
      <c r="M27" s="3">
        <v>1104.8</v>
      </c>
      <c r="N27" s="3">
        <f t="shared" si="3"/>
        <v>-714.43000000000006</v>
      </c>
      <c r="O27" s="3"/>
      <c r="P27" s="3"/>
      <c r="Q27" s="3"/>
      <c r="R27" s="32">
        <f t="shared" si="4"/>
        <v>390.36999999999989</v>
      </c>
    </row>
    <row r="28" spans="1:18">
      <c r="A28" s="2" t="s">
        <v>54</v>
      </c>
      <c r="B28" s="3"/>
      <c r="C28" s="3">
        <v>1035</v>
      </c>
      <c r="D28" s="3">
        <v>0</v>
      </c>
      <c r="E28" s="3"/>
      <c r="F28" s="3"/>
      <c r="G28" s="3"/>
      <c r="H28" s="3"/>
      <c r="I28" s="3"/>
      <c r="J28" s="3"/>
      <c r="K28" s="3"/>
      <c r="L28" s="3"/>
      <c r="M28" s="3">
        <v>-708</v>
      </c>
      <c r="N28" s="3">
        <f>SUM(B28:L28)</f>
        <v>1035</v>
      </c>
      <c r="O28" s="3"/>
      <c r="P28" s="3"/>
      <c r="Q28" s="3"/>
      <c r="R28" s="32">
        <f t="shared" si="4"/>
        <v>327</v>
      </c>
    </row>
    <row r="29" spans="1:18">
      <c r="A29" s="13" t="s">
        <v>45</v>
      </c>
      <c r="B29" s="3">
        <f t="shared" ref="B29:R29" si="5">SUM(B18:B28)</f>
        <v>0</v>
      </c>
      <c r="C29" s="3">
        <f t="shared" si="5"/>
        <v>4719.67</v>
      </c>
      <c r="D29" s="3">
        <f t="shared" si="5"/>
        <v>-3666.03</v>
      </c>
      <c r="E29" s="3">
        <f t="shared" si="5"/>
        <v>45.25</v>
      </c>
      <c r="F29" s="3">
        <f t="shared" si="5"/>
        <v>0</v>
      </c>
      <c r="G29" s="3">
        <f t="shared" si="5"/>
        <v>0</v>
      </c>
      <c r="H29" s="3">
        <f t="shared" si="5"/>
        <v>618</v>
      </c>
      <c r="I29" s="3">
        <f t="shared" si="5"/>
        <v>12.5</v>
      </c>
      <c r="J29" s="3">
        <f t="shared" si="5"/>
        <v>-387.43</v>
      </c>
      <c r="K29" s="3">
        <f t="shared" si="5"/>
        <v>351.77</v>
      </c>
      <c r="L29" s="3">
        <f t="shared" si="5"/>
        <v>-1713.23</v>
      </c>
      <c r="M29" s="3">
        <f t="shared" si="5"/>
        <v>9548.0899999999983</v>
      </c>
      <c r="N29" s="3">
        <f t="shared" si="5"/>
        <v>-19.500000000000227</v>
      </c>
      <c r="O29" s="3">
        <f t="shared" si="5"/>
        <v>0</v>
      </c>
      <c r="P29" s="3">
        <f t="shared" si="5"/>
        <v>0</v>
      </c>
      <c r="Q29" s="3">
        <f t="shared" si="5"/>
        <v>0</v>
      </c>
      <c r="R29" s="3">
        <f t="shared" si="5"/>
        <v>9528.59</v>
      </c>
    </row>
  </sheetData>
  <pageMargins left="0.7" right="0.7" top="0.75" bottom="0.75" header="0.3" footer="0.3"/>
  <pageSetup scale="6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0"/>
  <sheetViews>
    <sheetView topLeftCell="B1" workbookViewId="0">
      <selection activeCell="M29" sqref="M29"/>
    </sheetView>
  </sheetViews>
  <sheetFormatPr baseColWidth="10" defaultColWidth="8.83203125" defaultRowHeight="14" x14ac:dyDescent="0"/>
  <cols>
    <col min="1" max="1" width="27.6640625" bestFit="1" customWidth="1"/>
    <col min="2" max="2" width="14.6640625" bestFit="1" customWidth="1"/>
    <col min="3" max="3" width="7.33203125" bestFit="1" customWidth="1"/>
    <col min="4" max="4" width="7.5" bestFit="1" customWidth="1"/>
    <col min="5" max="7" width="8.33203125" bestFit="1" customWidth="1"/>
    <col min="8" max="8" width="7.33203125" bestFit="1" customWidth="1"/>
    <col min="9" max="12" width="8.33203125" bestFit="1" customWidth="1"/>
    <col min="13" max="13" width="9.83203125" bestFit="1" customWidth="1"/>
  </cols>
  <sheetData>
    <row r="1" spans="1:14">
      <c r="A1" s="11" t="s">
        <v>59</v>
      </c>
      <c r="B1" s="11" t="s">
        <v>60</v>
      </c>
      <c r="C1" s="9" t="s">
        <v>80</v>
      </c>
      <c r="D1" s="9" t="s">
        <v>81</v>
      </c>
      <c r="E1" s="9" t="s">
        <v>82</v>
      </c>
      <c r="F1" s="9" t="s">
        <v>83</v>
      </c>
      <c r="G1" s="9" t="s">
        <v>84</v>
      </c>
      <c r="H1" s="9" t="s">
        <v>85</v>
      </c>
      <c r="I1" s="9" t="s">
        <v>86</v>
      </c>
      <c r="J1" s="9" t="s">
        <v>87</v>
      </c>
      <c r="K1" s="9" t="s">
        <v>88</v>
      </c>
      <c r="L1" s="9" t="s">
        <v>89</v>
      </c>
      <c r="M1" s="9" t="s">
        <v>90</v>
      </c>
      <c r="N1" s="7" t="s">
        <v>57</v>
      </c>
    </row>
    <row r="2" spans="1:14">
      <c r="A2" s="27" t="s">
        <v>91</v>
      </c>
      <c r="B2" s="28">
        <v>150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>
        <f t="shared" ref="N2:N27" si="0">SUM(B2:M2)</f>
        <v>150</v>
      </c>
    </row>
    <row r="3" spans="1:14">
      <c r="A3" s="27" t="s">
        <v>92</v>
      </c>
      <c r="B3" s="28">
        <v>150</v>
      </c>
      <c r="C3" s="3"/>
      <c r="D3" s="3"/>
      <c r="E3" s="3"/>
      <c r="F3" s="3"/>
      <c r="G3" s="3"/>
      <c r="H3" s="3"/>
      <c r="I3" s="3"/>
      <c r="J3" s="3"/>
      <c r="K3" s="3"/>
      <c r="L3" s="3"/>
      <c r="M3" s="3">
        <v>-150</v>
      </c>
      <c r="N3" s="3">
        <f t="shared" si="0"/>
        <v>0</v>
      </c>
    </row>
    <row r="4" spans="1:14">
      <c r="A4" s="27" t="s">
        <v>93</v>
      </c>
      <c r="B4" s="28">
        <v>150</v>
      </c>
      <c r="C4" s="3"/>
      <c r="D4" s="3"/>
      <c r="E4" s="3"/>
      <c r="F4" s="3"/>
      <c r="G4" s="3"/>
      <c r="H4" s="3"/>
      <c r="I4" s="3"/>
      <c r="J4" s="3"/>
      <c r="K4" s="3">
        <v>-150</v>
      </c>
      <c r="L4" s="3"/>
      <c r="M4" s="3"/>
      <c r="N4" s="3">
        <f t="shared" si="0"/>
        <v>0</v>
      </c>
    </row>
    <row r="5" spans="1:14">
      <c r="A5" s="27" t="s">
        <v>94</v>
      </c>
      <c r="B5" s="28">
        <v>150</v>
      </c>
      <c r="C5" s="3"/>
      <c r="D5" s="3"/>
      <c r="E5" s="3"/>
      <c r="F5" s="3"/>
      <c r="G5" s="3"/>
      <c r="H5" s="3"/>
      <c r="I5" s="3"/>
      <c r="J5" s="3"/>
      <c r="K5" s="3"/>
      <c r="L5" s="3">
        <v>-150</v>
      </c>
      <c r="M5" s="3"/>
      <c r="N5" s="3">
        <f t="shared" si="0"/>
        <v>0</v>
      </c>
    </row>
    <row r="6" spans="1:14">
      <c r="A6" s="27" t="s">
        <v>95</v>
      </c>
      <c r="B6" s="28">
        <v>150</v>
      </c>
      <c r="C6" s="3"/>
      <c r="D6" s="3"/>
      <c r="E6" s="3"/>
      <c r="F6" s="3"/>
      <c r="G6" s="3"/>
      <c r="H6" s="3"/>
      <c r="I6" s="3"/>
      <c r="J6" s="3"/>
      <c r="K6" s="3"/>
      <c r="L6" s="3">
        <v>-150</v>
      </c>
      <c r="M6" s="3"/>
      <c r="N6" s="3">
        <f t="shared" si="0"/>
        <v>0</v>
      </c>
    </row>
    <row r="7" spans="1:14">
      <c r="A7" s="27" t="s">
        <v>96</v>
      </c>
      <c r="B7" s="28">
        <v>150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>
        <f t="shared" si="0"/>
        <v>150</v>
      </c>
    </row>
    <row r="8" spans="1:14">
      <c r="A8" s="27" t="s">
        <v>97</v>
      </c>
      <c r="B8" s="28">
        <v>150</v>
      </c>
      <c r="C8" s="3"/>
      <c r="D8" s="3"/>
      <c r="E8" s="3"/>
      <c r="F8" s="3"/>
      <c r="G8" s="3"/>
      <c r="H8" s="3"/>
      <c r="I8" s="3"/>
      <c r="J8" s="3"/>
      <c r="K8" s="3"/>
      <c r="L8" s="3"/>
      <c r="M8" s="3">
        <v>-150</v>
      </c>
      <c r="N8" s="3">
        <f t="shared" si="0"/>
        <v>0</v>
      </c>
    </row>
    <row r="9" spans="1:14">
      <c r="A9" s="27" t="s">
        <v>98</v>
      </c>
      <c r="B9" s="28">
        <v>150</v>
      </c>
      <c r="C9" s="3"/>
      <c r="D9" s="3"/>
      <c r="E9" s="3"/>
      <c r="F9" s="3"/>
      <c r="G9" s="3"/>
      <c r="H9" s="3"/>
      <c r="I9" s="3"/>
      <c r="J9" s="3"/>
      <c r="K9" s="3">
        <v>-150</v>
      </c>
      <c r="L9" s="3"/>
      <c r="M9" s="3"/>
      <c r="N9" s="3">
        <f t="shared" si="0"/>
        <v>0</v>
      </c>
    </row>
    <row r="10" spans="1:14">
      <c r="A10" s="27" t="s">
        <v>99</v>
      </c>
      <c r="B10" s="28">
        <v>150</v>
      </c>
      <c r="C10" s="3"/>
      <c r="D10" s="3"/>
      <c r="E10" s="3"/>
      <c r="F10" s="3"/>
      <c r="G10" s="3"/>
      <c r="H10" s="3"/>
      <c r="I10" s="3"/>
      <c r="J10" s="3"/>
      <c r="K10" s="3">
        <v>-150</v>
      </c>
      <c r="L10" s="3"/>
      <c r="M10" s="3"/>
      <c r="N10" s="3">
        <f t="shared" si="0"/>
        <v>0</v>
      </c>
    </row>
    <row r="11" spans="1:14">
      <c r="A11" s="27" t="s">
        <v>100</v>
      </c>
      <c r="B11" s="28">
        <v>150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>
        <f t="shared" si="0"/>
        <v>150</v>
      </c>
    </row>
    <row r="12" spans="1:14">
      <c r="A12" s="27" t="s">
        <v>101</v>
      </c>
      <c r="B12" s="28">
        <v>150</v>
      </c>
      <c r="C12" s="3"/>
      <c r="D12" s="3"/>
      <c r="E12" s="3"/>
      <c r="F12" s="3"/>
      <c r="G12" s="3"/>
      <c r="H12" s="3"/>
      <c r="I12" s="3"/>
      <c r="J12" s="3"/>
      <c r="K12" s="3"/>
      <c r="L12" s="3">
        <v>-150</v>
      </c>
      <c r="M12" s="3"/>
      <c r="N12" s="3">
        <f t="shared" si="0"/>
        <v>0</v>
      </c>
    </row>
    <row r="13" spans="1:14">
      <c r="A13" s="27" t="s">
        <v>102</v>
      </c>
      <c r="B13" s="28">
        <v>150</v>
      </c>
      <c r="C13" s="3"/>
      <c r="D13" s="3"/>
      <c r="E13" s="3"/>
      <c r="F13" s="3"/>
      <c r="G13" s="3"/>
      <c r="H13" s="3"/>
      <c r="I13" s="3"/>
      <c r="J13" s="3"/>
      <c r="K13" s="3"/>
      <c r="L13" s="3">
        <v>-150</v>
      </c>
      <c r="M13" s="3"/>
      <c r="N13" s="3">
        <f t="shared" si="0"/>
        <v>0</v>
      </c>
    </row>
    <row r="14" spans="1:14">
      <c r="A14" s="27" t="s">
        <v>103</v>
      </c>
      <c r="B14" s="28">
        <v>150</v>
      </c>
      <c r="C14" s="3"/>
      <c r="D14" s="3"/>
      <c r="E14" s="3"/>
      <c r="F14" s="3"/>
      <c r="G14" s="3"/>
      <c r="H14" s="3"/>
      <c r="I14" s="3"/>
      <c r="J14" s="3"/>
      <c r="K14" s="3">
        <v>-150</v>
      </c>
      <c r="L14" s="3"/>
      <c r="M14" s="3"/>
      <c r="N14" s="3">
        <f t="shared" si="0"/>
        <v>0</v>
      </c>
    </row>
    <row r="15" spans="1:14">
      <c r="A15" s="27" t="s">
        <v>140</v>
      </c>
      <c r="B15" s="28">
        <v>150</v>
      </c>
      <c r="C15" s="3"/>
      <c r="D15" s="3"/>
      <c r="E15" s="3"/>
      <c r="F15" s="3"/>
      <c r="G15" s="3"/>
      <c r="H15" s="3"/>
      <c r="I15" s="3">
        <v>-150</v>
      </c>
      <c r="J15" s="3"/>
      <c r="K15" s="3"/>
      <c r="L15" s="3"/>
      <c r="M15" s="3"/>
      <c r="N15" s="3">
        <f t="shared" si="0"/>
        <v>0</v>
      </c>
    </row>
    <row r="16" spans="1:14">
      <c r="A16" s="27" t="s">
        <v>104</v>
      </c>
      <c r="B16" s="28">
        <v>150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>
        <f t="shared" si="0"/>
        <v>150</v>
      </c>
    </row>
    <row r="17" spans="1:14">
      <c r="A17" s="27" t="s">
        <v>105</v>
      </c>
      <c r="B17" s="28">
        <v>150</v>
      </c>
      <c r="C17" s="3"/>
      <c r="D17" s="3"/>
      <c r="E17" s="3">
        <v>-150</v>
      </c>
      <c r="F17" s="3"/>
      <c r="G17" s="3"/>
      <c r="H17" s="3"/>
      <c r="I17" s="3"/>
      <c r="J17" s="3"/>
      <c r="K17" s="3"/>
      <c r="L17" s="3"/>
      <c r="M17" s="3"/>
      <c r="N17" s="3">
        <f t="shared" si="0"/>
        <v>0</v>
      </c>
    </row>
    <row r="18" spans="1:14">
      <c r="A18" s="27" t="s">
        <v>106</v>
      </c>
      <c r="B18" s="28">
        <v>150</v>
      </c>
      <c r="C18" s="3"/>
      <c r="D18" s="3"/>
      <c r="E18" s="3"/>
      <c r="F18" s="3"/>
      <c r="G18" s="3"/>
      <c r="H18" s="3"/>
      <c r="I18" s="3"/>
      <c r="J18" s="3"/>
      <c r="K18" s="3"/>
      <c r="L18" s="3">
        <v>-124</v>
      </c>
      <c r="M18" s="3"/>
      <c r="N18" s="3">
        <f t="shared" si="0"/>
        <v>26</v>
      </c>
    </row>
    <row r="19" spans="1:14">
      <c r="A19" s="27" t="s">
        <v>107</v>
      </c>
      <c r="B19" s="28">
        <v>150</v>
      </c>
      <c r="C19" s="3"/>
      <c r="D19" s="3"/>
      <c r="E19" s="3"/>
      <c r="F19" s="3"/>
      <c r="G19" s="3">
        <v>-150</v>
      </c>
      <c r="H19" s="3"/>
      <c r="I19" s="3"/>
      <c r="J19" s="3"/>
      <c r="K19" s="3"/>
      <c r="L19" s="3"/>
      <c r="M19" s="3"/>
      <c r="N19" s="3">
        <f t="shared" si="0"/>
        <v>0</v>
      </c>
    </row>
    <row r="20" spans="1:14">
      <c r="A20" s="27" t="s">
        <v>108</v>
      </c>
      <c r="B20" s="28">
        <v>150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>
        <v>-150</v>
      </c>
      <c r="N20" s="3">
        <f t="shared" si="0"/>
        <v>0</v>
      </c>
    </row>
    <row r="21" spans="1:14">
      <c r="A21" s="27" t="s">
        <v>109</v>
      </c>
      <c r="B21" s="28">
        <v>150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>
        <f t="shared" si="0"/>
        <v>150</v>
      </c>
    </row>
    <row r="22" spans="1:14">
      <c r="A22" s="27" t="s">
        <v>110</v>
      </c>
      <c r="B22" s="28">
        <v>250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>
        <f>-148.7-101.3</f>
        <v>-250</v>
      </c>
      <c r="N22" s="3">
        <f t="shared" si="0"/>
        <v>0</v>
      </c>
    </row>
    <row r="23" spans="1:14">
      <c r="A23" s="27" t="s">
        <v>111</v>
      </c>
      <c r="B23" s="28">
        <v>150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>
        <f>-120.01-29.99</f>
        <v>-150</v>
      </c>
      <c r="N23" s="3">
        <f t="shared" si="0"/>
        <v>0</v>
      </c>
    </row>
    <row r="24" spans="1:14">
      <c r="A24" s="27" t="s">
        <v>112</v>
      </c>
      <c r="B24" s="28">
        <v>150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>
        <f>-92.04-57.96</f>
        <v>-150</v>
      </c>
      <c r="N24" s="3">
        <f t="shared" si="0"/>
        <v>0</v>
      </c>
    </row>
    <row r="25" spans="1:14">
      <c r="A25" s="27" t="s">
        <v>113</v>
      </c>
      <c r="B25" s="28">
        <v>250</v>
      </c>
      <c r="C25" s="3"/>
      <c r="D25" s="3"/>
      <c r="E25" s="3"/>
      <c r="F25" s="3"/>
      <c r="G25" s="3"/>
      <c r="H25" s="3"/>
      <c r="I25" s="3">
        <v>-200.48</v>
      </c>
      <c r="J25" s="3"/>
      <c r="K25" s="3"/>
      <c r="L25" s="3"/>
      <c r="M25" s="3">
        <f>-49.52-242.76</f>
        <v>-292.27999999999997</v>
      </c>
      <c r="N25" s="3">
        <f t="shared" si="0"/>
        <v>-242.75999999999996</v>
      </c>
    </row>
    <row r="26" spans="1:14">
      <c r="A26" s="27" t="s">
        <v>114</v>
      </c>
      <c r="B26" s="28">
        <v>250</v>
      </c>
      <c r="C26" s="3"/>
      <c r="D26" s="3"/>
      <c r="E26" s="3"/>
      <c r="F26" s="3">
        <v>-229.02</v>
      </c>
      <c r="G26" s="3"/>
      <c r="H26" s="3"/>
      <c r="I26" s="3"/>
      <c r="J26" s="3"/>
      <c r="K26" s="3"/>
      <c r="L26" s="3"/>
      <c r="M26" s="3"/>
      <c r="N26" s="3">
        <f t="shared" si="0"/>
        <v>20.97999999999999</v>
      </c>
    </row>
    <row r="27" spans="1:14">
      <c r="A27" s="27" t="s">
        <v>141</v>
      </c>
      <c r="B27" s="28">
        <v>150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>
        <v>-150</v>
      </c>
      <c r="N27" s="3">
        <f t="shared" si="0"/>
        <v>0</v>
      </c>
    </row>
    <row r="28" spans="1:14">
      <c r="A28" s="11" t="s">
        <v>58</v>
      </c>
      <c r="B28" s="3">
        <f t="shared" ref="B28:M28" si="1">SUM(B2:B27)</f>
        <v>4200</v>
      </c>
      <c r="C28" s="3">
        <f t="shared" si="1"/>
        <v>0</v>
      </c>
      <c r="D28" s="3">
        <f t="shared" si="1"/>
        <v>0</v>
      </c>
      <c r="E28" s="3">
        <f t="shared" si="1"/>
        <v>-150</v>
      </c>
      <c r="F28" s="3">
        <f t="shared" si="1"/>
        <v>-229.02</v>
      </c>
      <c r="G28" s="3">
        <f t="shared" si="1"/>
        <v>-150</v>
      </c>
      <c r="H28" s="3">
        <f t="shared" si="1"/>
        <v>0</v>
      </c>
      <c r="I28" s="3">
        <f t="shared" si="1"/>
        <v>-350.48</v>
      </c>
      <c r="J28" s="3">
        <f t="shared" si="1"/>
        <v>0</v>
      </c>
      <c r="K28" s="3">
        <f t="shared" si="1"/>
        <v>-600</v>
      </c>
      <c r="L28" s="3">
        <f t="shared" si="1"/>
        <v>-724</v>
      </c>
      <c r="M28" s="3">
        <f t="shared" si="1"/>
        <v>-1442.28</v>
      </c>
      <c r="N28" s="3">
        <f>SUM(N2:N27)</f>
        <v>554.22</v>
      </c>
    </row>
    <row r="29" spans="1:14">
      <c r="M29" s="1"/>
      <c r="N29" s="1"/>
    </row>
    <row r="30" spans="1:14">
      <c r="N30" s="1"/>
    </row>
  </sheetData>
  <pageMargins left="0.7" right="0.7" top="0.75" bottom="0.75" header="0.3" footer="0.3"/>
  <pageSetup scale="86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37"/>
  <sheetViews>
    <sheetView topLeftCell="A10" workbookViewId="0">
      <selection activeCell="I21" sqref="H21:I21"/>
    </sheetView>
  </sheetViews>
  <sheetFormatPr baseColWidth="10" defaultColWidth="8.83203125" defaultRowHeight="14" x14ac:dyDescent="0"/>
  <cols>
    <col min="1" max="1" width="30.6640625" style="14" bestFit="1" customWidth="1"/>
    <col min="2" max="2" width="14.5" style="14" bestFit="1" customWidth="1"/>
    <col min="3" max="3" width="8.83203125" style="14"/>
    <col min="4" max="4" width="32" style="14" bestFit="1" customWidth="1"/>
    <col min="5" max="6" width="10.1640625" style="14" bestFit="1" customWidth="1"/>
    <col min="7" max="7" width="11.5" style="14" bestFit="1" customWidth="1"/>
    <col min="8" max="16384" width="8.83203125" style="14"/>
  </cols>
  <sheetData>
    <row r="1" spans="1:13" ht="15">
      <c r="A1" s="34" t="s">
        <v>133</v>
      </c>
      <c r="B1" s="34"/>
      <c r="C1" s="34"/>
      <c r="D1" s="34"/>
      <c r="E1" s="34"/>
      <c r="F1" s="34"/>
      <c r="G1" s="34"/>
    </row>
    <row r="2" spans="1:13">
      <c r="A2" s="35" t="s">
        <v>134</v>
      </c>
      <c r="B2" s="35"/>
      <c r="C2" s="35"/>
      <c r="D2" s="35"/>
      <c r="E2" s="35"/>
      <c r="F2" s="35"/>
      <c r="G2" s="35"/>
    </row>
    <row r="3" spans="1:13">
      <c r="A3" s="35" t="s">
        <v>131</v>
      </c>
      <c r="B3" s="35"/>
      <c r="C3" s="35"/>
      <c r="D3" s="35"/>
      <c r="E3" s="35"/>
      <c r="F3" s="35"/>
      <c r="G3" s="35"/>
    </row>
    <row r="5" spans="1:13">
      <c r="A5" s="15" t="s">
        <v>61</v>
      </c>
      <c r="E5" s="18" t="s">
        <v>131</v>
      </c>
      <c r="F5" s="18" t="s">
        <v>131</v>
      </c>
      <c r="G5" s="18"/>
    </row>
    <row r="6" spans="1:13">
      <c r="A6" s="14" t="s">
        <v>62</v>
      </c>
      <c r="B6" s="20">
        <v>13880.52</v>
      </c>
      <c r="D6" s="15" t="s">
        <v>47</v>
      </c>
      <c r="E6" s="18" t="s">
        <v>25</v>
      </c>
      <c r="F6" s="19" t="s">
        <v>74</v>
      </c>
      <c r="G6" s="19" t="s">
        <v>27</v>
      </c>
    </row>
    <row r="7" spans="1:13">
      <c r="A7" s="14" t="s">
        <v>63</v>
      </c>
      <c r="B7" s="20">
        <f>-570.91-9469.93-1173.27-9539.92-610-3243.67-5309.21-4196.85-307-784-300-90.11-295.58-9.52-50-450-298-1173.5-150-307-124-1556.67-75-258.76-48.35-71.91-414.65-150-150-150-80.81-1862-54.95-512.73-208.81-34.95-61.75-165.49-900-958.58-150-150-15-495.54-550-125-500-12-22.24-96.37-150+450-92.04-40.27-73.38-215.48-200-65.26-1591.32-808-277-120.01-337.6-636.8-195-500-500-500</f>
        <v>-54136.189999999995</v>
      </c>
      <c r="D7" s="14" t="s">
        <v>30</v>
      </c>
      <c r="E7" s="20">
        <f>+'Income &amp; Holding'!Q2</f>
        <v>6500</v>
      </c>
      <c r="F7" s="20">
        <f>+'Income &amp; Holding'!P2</f>
        <v>5381.22</v>
      </c>
      <c r="G7" s="20">
        <f>'Income &amp; Holding'!R2</f>
        <v>-1118.7799999999997</v>
      </c>
    </row>
    <row r="8" spans="1:13">
      <c r="A8" s="14" t="s">
        <v>64</v>
      </c>
      <c r="B8" s="20">
        <f>32211.61+4625.18+1512.65+12+2401.28+7464.16</f>
        <v>48226.880000000005</v>
      </c>
      <c r="D8" s="14" t="s">
        <v>31</v>
      </c>
      <c r="E8" s="20">
        <f>+'Income &amp; Holding'!Q3</f>
        <v>5500</v>
      </c>
      <c r="F8" s="20">
        <f>'Income &amp; Holding'!P3</f>
        <v>2585.1799999999998</v>
      </c>
      <c r="G8" s="20">
        <f>'Income &amp; Holding'!R3</f>
        <v>-2914.82</v>
      </c>
    </row>
    <row r="9" spans="1:13">
      <c r="A9" s="22" t="s">
        <v>65</v>
      </c>
      <c r="B9" s="21">
        <v>-12</v>
      </c>
      <c r="D9" s="14" t="s">
        <v>32</v>
      </c>
      <c r="E9" s="20">
        <f>+'Income &amp; Holding'!Q4</f>
        <v>500</v>
      </c>
      <c r="F9" s="20">
        <f>'Income &amp; Holding'!P4</f>
        <v>681.26</v>
      </c>
      <c r="G9" s="20">
        <f>'Income &amp; Holding'!R4</f>
        <v>181.26</v>
      </c>
    </row>
    <row r="10" spans="1:13">
      <c r="A10" s="14" t="s">
        <v>66</v>
      </c>
      <c r="B10" s="20">
        <f>SUM(B6:B9)</f>
        <v>7959.2100000000064</v>
      </c>
      <c r="D10" s="16" t="s">
        <v>132</v>
      </c>
      <c r="E10" s="20">
        <f>+'Income &amp; Holding'!Q14</f>
        <v>500</v>
      </c>
      <c r="F10" s="20">
        <f>+'Income &amp; Holding'!P14</f>
        <v>606</v>
      </c>
      <c r="G10" s="20">
        <f>+'Income &amp; Holding'!R14</f>
        <v>106</v>
      </c>
    </row>
    <row r="11" spans="1:13">
      <c r="D11" s="14" t="s">
        <v>33</v>
      </c>
      <c r="E11" s="20">
        <f>+'Income &amp; Holding'!Q5</f>
        <v>5000</v>
      </c>
      <c r="F11" s="20">
        <f>'Income &amp; Holding'!P5</f>
        <v>6337.4400000000005</v>
      </c>
      <c r="G11" s="20">
        <f>'Income &amp; Holding'!R5</f>
        <v>1337.4400000000005</v>
      </c>
    </row>
    <row r="12" spans="1:13">
      <c r="B12" s="20"/>
      <c r="D12" s="14" t="s">
        <v>34</v>
      </c>
      <c r="E12" s="20">
        <f>+'Income &amp; Holding'!Q6</f>
        <v>2000</v>
      </c>
      <c r="F12" s="20">
        <f>'Income &amp; Holding'!P6</f>
        <v>991</v>
      </c>
      <c r="G12" s="20">
        <f>'Income &amp; Holding'!R6</f>
        <v>-1009</v>
      </c>
    </row>
    <row r="13" spans="1:13">
      <c r="A13" s="15" t="s">
        <v>67</v>
      </c>
      <c r="B13" s="20"/>
      <c r="D13" s="14" t="s">
        <v>35</v>
      </c>
      <c r="E13" s="20">
        <f>+'Income &amp; Holding'!Q7</f>
        <v>1000</v>
      </c>
      <c r="F13" s="20">
        <f>'Income &amp; Holding'!P7</f>
        <v>484.35</v>
      </c>
      <c r="G13" s="20">
        <f>'Income &amp; Holding'!R7</f>
        <v>-515.65</v>
      </c>
    </row>
    <row r="14" spans="1:13">
      <c r="A14" s="14" t="s">
        <v>48</v>
      </c>
      <c r="B14" s="20">
        <f>+'Income &amp; Holding'!R18</f>
        <v>7.04</v>
      </c>
      <c r="D14" s="14" t="s">
        <v>36</v>
      </c>
      <c r="E14" s="20">
        <f>+'Income &amp; Holding'!Q8</f>
        <v>2000</v>
      </c>
      <c r="F14" s="20">
        <f>'Income &amp; Holding'!P8</f>
        <v>1869.3100000000002</v>
      </c>
      <c r="G14" s="20">
        <f>'Income &amp; Holding'!R8</f>
        <v>-130.68999999999983</v>
      </c>
    </row>
    <row r="15" spans="1:13">
      <c r="A15" s="14" t="s">
        <v>49</v>
      </c>
      <c r="B15" s="20">
        <f>+'Income &amp; Holding'!R19</f>
        <v>0</v>
      </c>
      <c r="D15" s="14" t="s">
        <v>37</v>
      </c>
      <c r="E15" s="20">
        <f>'Income &amp; Holding'!Q9</f>
        <v>1300</v>
      </c>
      <c r="F15" s="20">
        <f>'Income &amp; Holding'!P9</f>
        <v>966.19</v>
      </c>
      <c r="G15" s="20">
        <f>'Income &amp; Holding'!R9</f>
        <v>-333.80999999999995</v>
      </c>
      <c r="M15" s="16"/>
    </row>
    <row r="16" spans="1:13">
      <c r="A16" s="14" t="s">
        <v>50</v>
      </c>
      <c r="B16" s="20">
        <f>+'Income &amp; Holding'!R20</f>
        <v>0</v>
      </c>
      <c r="D16" s="14" t="s">
        <v>38</v>
      </c>
      <c r="E16" s="20">
        <f>'Income &amp; Holding'!Q10</f>
        <v>700</v>
      </c>
      <c r="F16" s="20">
        <f>'Income &amp; Holding'!P10</f>
        <v>618.87</v>
      </c>
      <c r="G16" s="20">
        <f>'Income &amp; Holding'!R10</f>
        <v>-81.13</v>
      </c>
    </row>
    <row r="17" spans="1:7">
      <c r="A17" s="14" t="s">
        <v>51</v>
      </c>
      <c r="B17" s="20">
        <f>+'Income &amp; Holding'!R21</f>
        <v>-1.1368683772161603E-13</v>
      </c>
      <c r="D17" s="14" t="s">
        <v>39</v>
      </c>
      <c r="E17" s="20">
        <f>'Income &amp; Holding'!Q11</f>
        <v>0</v>
      </c>
      <c r="F17" s="20">
        <f>'Income &amp; Holding'!P11</f>
        <v>917.4</v>
      </c>
      <c r="G17" s="20">
        <f>'Income &amp; Holding'!R11</f>
        <v>917.4</v>
      </c>
    </row>
    <row r="18" spans="1:7">
      <c r="A18" s="14" t="s">
        <v>7</v>
      </c>
      <c r="B18" s="20">
        <f>+'Income &amp; Holding'!R22</f>
        <v>0</v>
      </c>
      <c r="D18" s="14" t="s">
        <v>40</v>
      </c>
      <c r="E18" s="20">
        <f>'Income &amp; Holding'!Q12</f>
        <v>1250</v>
      </c>
      <c r="F18" s="20">
        <f>'Income &amp; Holding'!P12</f>
        <v>521.94000000000005</v>
      </c>
      <c r="G18" s="20">
        <f>'Income &amp; Holding'!R12</f>
        <v>-728.06</v>
      </c>
    </row>
    <row r="19" spans="1:7">
      <c r="A19" s="14" t="s">
        <v>52</v>
      </c>
      <c r="B19" s="20">
        <f>+'Income &amp; Holding'!R23</f>
        <v>8403.4</v>
      </c>
      <c r="D19" s="22" t="s">
        <v>41</v>
      </c>
      <c r="E19" s="21">
        <f>'Income &amp; Holding'!Q13</f>
        <v>500</v>
      </c>
      <c r="F19" s="21">
        <f>'Income &amp; Holding'!P13</f>
        <v>708.45000000000073</v>
      </c>
      <c r="G19" s="21">
        <f>'Income &amp; Holding'!R13</f>
        <v>208.45000000000073</v>
      </c>
    </row>
    <row r="20" spans="1:7">
      <c r="A20" s="14" t="s">
        <v>53</v>
      </c>
      <c r="B20" s="20">
        <f>+'Income &amp; Holding'!R24</f>
        <v>0</v>
      </c>
      <c r="D20" s="17" t="s">
        <v>58</v>
      </c>
      <c r="E20" s="20">
        <f>SUM(E7:E19)</f>
        <v>26750</v>
      </c>
      <c r="F20" s="20">
        <f>'Income &amp; Holding'!P15</f>
        <v>22668.61</v>
      </c>
      <c r="G20" s="20">
        <f>'Income &amp; Holding'!R15</f>
        <v>-4081.3899999999985</v>
      </c>
    </row>
    <row r="21" spans="1:7">
      <c r="A21" s="16" t="s">
        <v>8</v>
      </c>
      <c r="B21" s="20">
        <f>+'Income &amp; Holding'!R26</f>
        <v>387.6</v>
      </c>
      <c r="D21" s="17"/>
      <c r="E21" s="20"/>
      <c r="F21" s="20"/>
      <c r="G21" s="20"/>
    </row>
    <row r="22" spans="1:7">
      <c r="A22" s="16" t="s">
        <v>9</v>
      </c>
      <c r="B22" s="20">
        <f>+'Income &amp; Holding'!R27</f>
        <v>390.36999999999989</v>
      </c>
      <c r="D22" s="17"/>
      <c r="E22" s="20"/>
      <c r="F22" s="20"/>
      <c r="G22" s="20"/>
    </row>
    <row r="23" spans="1:7">
      <c r="A23" s="14" t="s">
        <v>6</v>
      </c>
      <c r="B23" s="20">
        <f>+'Income &amp; Holding'!R25</f>
        <v>13.18</v>
      </c>
    </row>
    <row r="24" spans="1:7">
      <c r="A24" s="22" t="s">
        <v>54</v>
      </c>
      <c r="B24" s="21">
        <f>+'Income &amp; Holding'!R28</f>
        <v>327</v>
      </c>
      <c r="F24" s="20"/>
    </row>
    <row r="25" spans="1:7">
      <c r="A25" s="16" t="s">
        <v>75</v>
      </c>
      <c r="B25" s="20">
        <f>SUM(B14:B24)</f>
        <v>9528.59</v>
      </c>
      <c r="G25" s="20"/>
    </row>
    <row r="26" spans="1:7">
      <c r="B26" s="20"/>
      <c r="D26" s="17" t="s">
        <v>135</v>
      </c>
      <c r="G26" s="30">
        <v>3793.4</v>
      </c>
    </row>
    <row r="27" spans="1:7">
      <c r="A27" s="17" t="s">
        <v>68</v>
      </c>
      <c r="B27" s="20"/>
      <c r="D27" s="17" t="s">
        <v>136</v>
      </c>
      <c r="G27" s="30">
        <f>+E20</f>
        <v>26750</v>
      </c>
    </row>
    <row r="28" spans="1:7">
      <c r="A28" s="16" t="s">
        <v>62</v>
      </c>
      <c r="B28" s="20">
        <v>0</v>
      </c>
      <c r="D28" s="17" t="s">
        <v>72</v>
      </c>
      <c r="G28" s="31">
        <f>+G26+G27</f>
        <v>30543.4</v>
      </c>
    </row>
    <row r="29" spans="1:7">
      <c r="A29" s="16" t="s">
        <v>64</v>
      </c>
      <c r="B29" s="20">
        <v>0</v>
      </c>
      <c r="D29" s="17" t="s">
        <v>138</v>
      </c>
      <c r="G29" s="30">
        <f>+Budgeted!B40</f>
        <v>31125</v>
      </c>
    </row>
    <row r="30" spans="1:7">
      <c r="A30" s="16" t="s">
        <v>56</v>
      </c>
      <c r="B30" s="20">
        <v>0</v>
      </c>
      <c r="D30" s="17" t="s">
        <v>73</v>
      </c>
      <c r="G30" s="31">
        <f>+G28-G29</f>
        <v>-581.59999999999854</v>
      </c>
    </row>
    <row r="31" spans="1:7">
      <c r="A31" s="23" t="s">
        <v>66</v>
      </c>
      <c r="B31" s="21">
        <v>0</v>
      </c>
    </row>
    <row r="32" spans="1:7">
      <c r="A32" s="16" t="s">
        <v>76</v>
      </c>
      <c r="B32" s="20">
        <f>SUM(B28:B31)</f>
        <v>0</v>
      </c>
    </row>
    <row r="33" spans="1:2">
      <c r="B33" s="20"/>
    </row>
    <row r="34" spans="1:2">
      <c r="A34" s="17" t="s">
        <v>69</v>
      </c>
      <c r="B34" s="20">
        <f>B10</f>
        <v>7959.2100000000064</v>
      </c>
    </row>
    <row r="35" spans="1:2">
      <c r="A35" s="17" t="s">
        <v>70</v>
      </c>
      <c r="B35" s="20">
        <f>B25</f>
        <v>9528.59</v>
      </c>
    </row>
    <row r="36" spans="1:2">
      <c r="A36" s="24" t="s">
        <v>71</v>
      </c>
      <c r="B36" s="25">
        <f>B32</f>
        <v>0</v>
      </c>
    </row>
    <row r="37" spans="1:2">
      <c r="A37" s="17" t="s">
        <v>77</v>
      </c>
      <c r="B37" s="20">
        <f>B34-B35</f>
        <v>-1569.3799999999937</v>
      </c>
    </row>
  </sheetData>
  <mergeCells count="3">
    <mergeCell ref="A1:G1"/>
    <mergeCell ref="A2:G2"/>
    <mergeCell ref="A3:G3"/>
  </mergeCells>
  <pageMargins left="0.7" right="0.7" top="0.75" bottom="0.75" header="0.3" footer="0.3"/>
  <pageSetup scale="93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Budgeted</vt:lpstr>
      <vt:lpstr>Income &amp; Holding</vt:lpstr>
      <vt:lpstr>Staff</vt:lpstr>
      <vt:lpstr>Financial Statement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NNDC</dc:creator>
  <cp:lastModifiedBy>Ray Richter</cp:lastModifiedBy>
  <cp:lastPrinted>2014-04-22T18:41:31Z</cp:lastPrinted>
  <dcterms:created xsi:type="dcterms:W3CDTF">2013-08-18T00:27:17Z</dcterms:created>
  <dcterms:modified xsi:type="dcterms:W3CDTF">2014-09-30T17:37:58Z</dcterms:modified>
</cp:coreProperties>
</file>